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.Skupien\Desktop\2021\Czerwiec\pliki na giełdę\2016 SKONSOLIDOWANE\"/>
    </mc:Choice>
  </mc:AlternateContent>
  <bookViews>
    <workbookView xWindow="0" yWindow="0" windowWidth="23040" windowHeight="9972" tabRatio="915" firstSheet="1" activeTab="1"/>
  </bookViews>
  <sheets>
    <sheet name="Dane podstawowe" sheetId="2" r:id="rId1"/>
    <sheet name="wybrane dane finansowe" sheetId="64" r:id="rId2"/>
    <sheet name="RZiS" sheetId="7" r:id="rId3"/>
    <sheet name="Skr. spr. z cał. dochodów" sheetId="53" r:id="rId4"/>
    <sheet name="Aktywa" sheetId="3" r:id="rId5"/>
    <sheet name="Pasywa" sheetId="8" r:id="rId6"/>
    <sheet name="ZZwK" sheetId="9" r:id="rId7"/>
    <sheet name="RPP" sheetId="6" r:id="rId8"/>
    <sheet name="NOTA 1,2 - Przychody i segmenty" sheetId="4" r:id="rId9"/>
    <sheet name="NOTA 3 - Koszty rodzajowe" sheetId="11" r:id="rId10"/>
    <sheet name="NOTA 4 - PPO i PKO" sheetId="5" r:id="rId11"/>
    <sheet name="NOTA 5 - PF i KF" sheetId="10" r:id="rId12"/>
    <sheet name="NOTA 6 - Podatek " sheetId="12" r:id="rId13"/>
    <sheet name="NOTA 7 - Zysk na 1 akcję" sheetId="14" r:id="rId14"/>
    <sheet name="NOTA 9 -Rzeczowe aktywa trwałe" sheetId="18" r:id="rId15"/>
    <sheet name="NOTA 10 -Wartości niematerialne" sheetId="17" r:id="rId16"/>
    <sheet name="NOTA 11 - Wartość firmy" sheetId="50" r:id="rId17"/>
    <sheet name="NOTA 12 - Inwest. jedn. stow." sheetId="43" r:id="rId18"/>
    <sheet name="NOTA 13  - Akcje udziały w jed." sheetId="22" r:id="rId19"/>
    <sheet name="NOTA 14 - Poz. akt. fin." sheetId="59" r:id="rId20"/>
    <sheet name="NOTA 15,16 - Należności" sheetId="27" r:id="rId21"/>
    <sheet name="NOTA 17 - RMK" sheetId="37" r:id="rId22"/>
    <sheet name="NOTA 18 - Środki pieniężne" sheetId="26" r:id="rId23"/>
    <sheet name="NOTA  19,20,21,22- Kapitały" sheetId="25" r:id="rId24"/>
    <sheet name="NOTA 23 Kredyty i pożyczki" sheetId="24" r:id="rId25"/>
    <sheet name="NOTA 24 Zobowiązania finansowe" sheetId="60" r:id="rId26"/>
    <sheet name="NOTA 25,26 - Zob. hand i pozost" sheetId="45" r:id="rId27"/>
    <sheet name="NOTA 27 - RMP" sheetId="47" r:id="rId28"/>
    <sheet name="NOTA 28,29 - Rezerwy" sheetId="23" r:id="rId29"/>
    <sheet name="NOTA 31 - Zarządzanie kapitałem" sheetId="34" r:id="rId30"/>
    <sheet name="NOTA 33 - Podmioty powiązane" sheetId="63" r:id="rId31"/>
    <sheet name="NOTA 34- Wynagrodzenie kadry " sheetId="31" r:id="rId32"/>
    <sheet name="NOTA 35 - Sruktura zatrudnienia" sheetId="35" r:id="rId33"/>
    <sheet name="NOTA 40 - Wynagrodzenie BR" sheetId="56" r:id="rId34"/>
    <sheet name="NOTA 41 - Objasnienia do RPP" sheetId="36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Toc103232643" localSheetId="13">'NOTA 7 - Zysk na 1 akcję'!#REF!</definedName>
    <definedName name="BZ">[1]Dane!$BB$55</definedName>
    <definedName name="BZPoprzedni">[1]Dane!$BB$56</definedName>
    <definedName name="KoncOkrPoprzAlt" localSheetId="15">[2]Dane!$BB$72</definedName>
    <definedName name="KoncOkrSpraw" localSheetId="15">[2]Dane!$BB$63</definedName>
    <definedName name="_xlnm.Print_Area" localSheetId="4">Aktywa!$B$2:$I$27</definedName>
    <definedName name="_xlnm.Print_Area" localSheetId="23">'NOTA  19,20,21,22- Kapitały'!$B$2:$I$144</definedName>
    <definedName name="_xlnm.Print_Area" localSheetId="8">'NOTA 1,2 - Przychody i segmenty'!#REF!</definedName>
    <definedName name="_xlnm.Print_Area" localSheetId="15">'NOTA 10 -Wartości niematerialne'!$B$2:$I$59</definedName>
    <definedName name="_xlnm.Print_Area" localSheetId="16">'NOTA 11 - Wartość firmy'!$B$2:$H$35</definedName>
    <definedName name="_xlnm.Print_Area" localSheetId="17">'NOTA 12 - Inwest. jedn. stow.'!$A$2:$G$55</definedName>
    <definedName name="_xlnm.Print_Area" localSheetId="18">'NOTA 13  - Akcje udziały w jed.'!$A$2:$I$33</definedName>
    <definedName name="_xlnm.Print_Area" localSheetId="19">'NOTA 14 - Poz. akt. fin.'!$A$2:$G$101</definedName>
    <definedName name="_xlnm.Print_Area" localSheetId="20">'NOTA 15,16 - Należności'!$A$2:$I$118</definedName>
    <definedName name="_xlnm.Print_Area" localSheetId="21">'NOTA 17 - RMK'!$A$2:$G$13</definedName>
    <definedName name="_xlnm.Print_Area" localSheetId="22">'NOTA 18 - Środki pieniężne'!$A$2:$C$49</definedName>
    <definedName name="_xlnm.Print_Area" localSheetId="24">'NOTA 23 Kredyty i pożyczki'!$A$2:$J$60</definedName>
    <definedName name="_xlnm.Print_Area" localSheetId="25">'NOTA 24 Zobowiązania finansowe'!$A$2:$H$25</definedName>
    <definedName name="_xlnm.Print_Area" localSheetId="26">'NOTA 25,26 - Zob. hand i pozost'!$A$2:$K$47</definedName>
    <definedName name="_xlnm.Print_Area" localSheetId="27">'NOTA 27 - RMP'!$A$2:$E$21</definedName>
    <definedName name="_xlnm.Print_Area" localSheetId="28">'NOTA 28,29 - Rezerwy'!$A$2:$L$45</definedName>
    <definedName name="_xlnm.Print_Area" localSheetId="9">'NOTA 3 - Koszty rodzajowe'!$B$2:$H$53</definedName>
    <definedName name="_xlnm.Print_Area" localSheetId="29">'NOTA 31 - Zarządzanie kapitałem'!$A$2:$H$16</definedName>
    <definedName name="_xlnm.Print_Area" localSheetId="30">'NOTA 33 - Podmioty powiązane'!$A$2:$M$27</definedName>
    <definedName name="_xlnm.Print_Area" localSheetId="31">'NOTA 34- Wynagrodzenie kadry '!$A$2:$E$40</definedName>
    <definedName name="_xlnm.Print_Area" localSheetId="32">'NOTA 35 - Sruktura zatrudnienia'!$A$2:$F$20</definedName>
    <definedName name="_xlnm.Print_Area" localSheetId="10">'NOTA 4 - PPO i PKO'!$A$2:$H$43</definedName>
    <definedName name="_xlnm.Print_Area" localSheetId="33">'NOTA 40 - Wynagrodzenie BR'!$B$2:$G$9</definedName>
    <definedName name="_xlnm.Print_Area" localSheetId="34">'NOTA 41 - Objasnienia do RPP'!$A$2:$H$74</definedName>
    <definedName name="_xlnm.Print_Area" localSheetId="11">'NOTA 5 - PF i KF'!$A$2:$I$37</definedName>
    <definedName name="_xlnm.Print_Area" localSheetId="12">'NOTA 6 - Podatek '!$B$2:$N$93</definedName>
    <definedName name="_xlnm.Print_Area" localSheetId="13">'NOTA 7 - Zysk na 1 akcję'!$B$2:$H$26</definedName>
    <definedName name="_xlnm.Print_Area" localSheetId="14">'NOTA 9 -Rzeczowe aktywa trwałe'!$B$2:$I$153</definedName>
    <definedName name="_xlnm.Print_Area" localSheetId="5">Pasywa!$B$2:$H$32</definedName>
    <definedName name="_xlnm.Print_Area" localSheetId="7">RPP!$B$2:$G$56</definedName>
    <definedName name="_xlnm.Print_Area" localSheetId="2">RZiS!$B$2:$I$42</definedName>
    <definedName name="_xlnm.Print_Area" localSheetId="3">'Skr. spr. z cał. dochodów'!$B$2:$H$19</definedName>
    <definedName name="_xlnm.Print_Area" localSheetId="1">'wybrane dane finansowe'!$A$2:$E$34</definedName>
    <definedName name="_xlnm.Print_Area" localSheetId="6">ZZwK!$B$2:$K$47</definedName>
    <definedName name="OdDo" localSheetId="1">[3]Dane!$BB$58</definedName>
    <definedName name="OdDo">[4]Dane!$BB$58</definedName>
    <definedName name="OdDoPoprz" localSheetId="1">[3]Dane!$BB$59</definedName>
    <definedName name="OdDoPoprz">[4]Dane!$BB$59</definedName>
    <definedName name="OdDoPoprzAlt" localSheetId="1">[3]Dane!$BB$60</definedName>
    <definedName name="OdDoPoprzAlt">[4]Dane!$BB$60</definedName>
    <definedName name="PoczOkrPoprz" localSheetId="15">[2]Dane!$BB$68</definedName>
    <definedName name="PoczOkrSpraw" localSheetId="15">[2]Dane!$BB$62</definedName>
    <definedName name="SkrotWaluty" localSheetId="1">[5]Dane!$BB$96</definedName>
    <definedName name="SkrotWaluty">[1]Dane!$BB$96</definedName>
    <definedName name="WOkrPoprzAlt" localSheetId="1">[3]Dane!$BB$74</definedName>
    <definedName name="WOkrPoprzAlt">[4]Dane!$BB$74</definedName>
    <definedName name="WOkrSpraw" localSheetId="1">[3]Dane!$BB$67</definedName>
    <definedName name="WOkrSpraw">[4]Dane!$BB$67</definedName>
  </definedNames>
  <calcPr calcId="152511"/>
</workbook>
</file>

<file path=xl/calcChain.xml><?xml version="1.0" encoding="utf-8"?>
<calcChain xmlns="http://schemas.openxmlformats.org/spreadsheetml/2006/main">
  <c r="D136" i="25" l="1"/>
  <c r="C136" i="25"/>
  <c r="D125" i="25"/>
  <c r="C125" i="25"/>
  <c r="D59" i="25"/>
  <c r="C59" i="25"/>
  <c r="C49" i="26"/>
  <c r="B49" i="26"/>
  <c r="C47" i="59"/>
  <c r="H21" i="17"/>
  <c r="D17" i="17"/>
  <c r="E17" i="17"/>
  <c r="E19" i="17" s="1"/>
  <c r="F17" i="17"/>
  <c r="G17" i="17"/>
  <c r="C17" i="17"/>
  <c r="D15" i="17"/>
  <c r="D19" i="17" s="1"/>
  <c r="E15" i="17"/>
  <c r="F15" i="17"/>
  <c r="F19" i="17" s="1"/>
  <c r="G15" i="17"/>
  <c r="G19" i="17" s="1"/>
  <c r="C15" i="17"/>
  <c r="C19" i="17" s="1"/>
  <c r="D11" i="17"/>
  <c r="E11" i="17"/>
  <c r="F11" i="17"/>
  <c r="G11" i="17"/>
  <c r="C11" i="17"/>
  <c r="H18" i="17"/>
  <c r="H16" i="17"/>
  <c r="H12" i="17"/>
  <c r="H10" i="17"/>
  <c r="H9" i="17"/>
  <c r="H14" i="17"/>
  <c r="H7" i="17"/>
  <c r="D8" i="17"/>
  <c r="D13" i="17" s="1"/>
  <c r="E8" i="17"/>
  <c r="E13" i="17" s="1"/>
  <c r="F8" i="17"/>
  <c r="F13" i="17" s="1"/>
  <c r="G8" i="17"/>
  <c r="G13" i="17" s="1"/>
  <c r="C8" i="17"/>
  <c r="C13" i="17" s="1"/>
  <c r="C86" i="12"/>
  <c r="C71" i="12"/>
  <c r="H19" i="17" l="1"/>
  <c r="H17" i="17"/>
  <c r="F20" i="17"/>
  <c r="H13" i="17"/>
  <c r="E20" i="17"/>
  <c r="C20" i="17"/>
  <c r="D20" i="17"/>
  <c r="G20" i="17"/>
  <c r="H20" i="17" s="1"/>
  <c r="H8" i="17"/>
  <c r="H15" i="17"/>
  <c r="D67" i="12"/>
  <c r="E67" i="12"/>
  <c r="D40" i="12"/>
  <c r="C40" i="12"/>
  <c r="B49" i="36" l="1"/>
  <c r="E41" i="4"/>
  <c r="E37" i="4"/>
  <c r="E29" i="4"/>
  <c r="B88" i="27" l="1"/>
  <c r="B33" i="27" l="1"/>
  <c r="B8" i="27"/>
  <c r="B7" i="27"/>
  <c r="H58" i="27"/>
  <c r="B58" i="27" s="1"/>
  <c r="D23" i="12" l="1"/>
  <c r="D36" i="12" l="1"/>
  <c r="C36" i="12"/>
  <c r="C38" i="12" s="1"/>
  <c r="D30" i="12"/>
  <c r="C30" i="12"/>
  <c r="D38" i="12" l="1"/>
  <c r="C17" i="12" l="1"/>
  <c r="C23" i="12"/>
  <c r="C25" i="12" s="1"/>
  <c r="C26" i="12" s="1"/>
  <c r="C48" i="12"/>
  <c r="C49" i="12"/>
  <c r="E48" i="12" l="1"/>
  <c r="E24" i="18" l="1"/>
  <c r="B87" i="27" l="1"/>
  <c r="B27" i="22" l="1"/>
  <c r="D16" i="22" l="1"/>
  <c r="B8" i="22"/>
  <c r="C8" i="22"/>
  <c r="D91" i="12" l="1"/>
  <c r="E83" i="12"/>
  <c r="E85" i="12" s="1"/>
  <c r="D83" i="12"/>
  <c r="D85" i="12" s="1"/>
  <c r="F82" i="12"/>
  <c r="F81" i="12"/>
  <c r="C80" i="12"/>
  <c r="F80" i="12" s="1"/>
  <c r="F79" i="12"/>
  <c r="F78" i="12"/>
  <c r="F77" i="12"/>
  <c r="F76" i="12"/>
  <c r="C75" i="12"/>
  <c r="F75" i="12" s="1"/>
  <c r="F74" i="12"/>
  <c r="C70" i="12"/>
  <c r="D90" i="12" s="1"/>
  <c r="F67" i="12"/>
  <c r="F66" i="12"/>
  <c r="F65" i="12"/>
  <c r="F64" i="12"/>
  <c r="F60" i="12"/>
  <c r="F59" i="12"/>
  <c r="F58" i="12"/>
  <c r="F57" i="12"/>
  <c r="F56" i="12"/>
  <c r="F55" i="12"/>
  <c r="F54" i="12"/>
  <c r="F53" i="12"/>
  <c r="E52" i="12"/>
  <c r="E70" i="12" s="1"/>
  <c r="D52" i="12"/>
  <c r="F51" i="12"/>
  <c r="F50" i="12"/>
  <c r="F49" i="12"/>
  <c r="F48" i="12"/>
  <c r="F52" i="12" l="1"/>
  <c r="D68" i="12"/>
  <c r="F68" i="12" s="1"/>
  <c r="F70" i="12"/>
  <c r="C90" i="12" s="1"/>
  <c r="F83" i="12"/>
  <c r="F85" i="12" s="1"/>
  <c r="C9" i="12"/>
  <c r="C6" i="12"/>
  <c r="E38" i="4"/>
  <c r="E31" i="4"/>
  <c r="D31" i="4"/>
  <c r="E30" i="4"/>
  <c r="E28" i="4"/>
  <c r="E26" i="4"/>
  <c r="E24" i="4"/>
  <c r="E23" i="4"/>
  <c r="E25" i="4"/>
  <c r="D70" i="12" l="1"/>
  <c r="C12" i="12"/>
  <c r="C27" i="12" s="1"/>
  <c r="F71" i="12"/>
  <c r="F86" i="12"/>
  <c r="C91" i="12"/>
  <c r="F40" i="17"/>
  <c r="F28" i="17"/>
  <c r="C19" i="31" l="1"/>
  <c r="C20" i="31"/>
  <c r="C6" i="31"/>
  <c r="C7" i="31" l="1"/>
  <c r="D4" i="56"/>
  <c r="C4" i="56"/>
  <c r="D17" i="50" l="1"/>
  <c r="I15" i="63" l="1"/>
  <c r="H15" i="63"/>
  <c r="G15" i="63"/>
  <c r="F15" i="63"/>
  <c r="E15" i="63"/>
  <c r="D15" i="63"/>
  <c r="C15" i="63"/>
  <c r="B15" i="63"/>
  <c r="I13" i="63"/>
  <c r="G13" i="63"/>
  <c r="E13" i="63"/>
  <c r="C13" i="63"/>
  <c r="I7" i="63"/>
  <c r="I26" i="63" s="1"/>
  <c r="H7" i="63"/>
  <c r="H26" i="63" s="1"/>
  <c r="G7" i="63"/>
  <c r="G26" i="63" s="1"/>
  <c r="F7" i="63"/>
  <c r="F26" i="63" s="1"/>
  <c r="E7" i="63"/>
  <c r="D7" i="63"/>
  <c r="D26" i="63" s="1"/>
  <c r="C7" i="63"/>
  <c r="B7" i="63"/>
  <c r="B26" i="63" s="1"/>
  <c r="C23" i="60"/>
  <c r="C24" i="60" s="1"/>
  <c r="B20" i="60"/>
  <c r="B19" i="60"/>
  <c r="B13" i="60"/>
  <c r="C11" i="60"/>
  <c r="C14" i="60" s="1"/>
  <c r="B5" i="60"/>
  <c r="B11" i="60" s="1"/>
  <c r="B14" i="60" s="1"/>
  <c r="C4" i="60"/>
  <c r="C18" i="60" s="1"/>
  <c r="B4" i="60"/>
  <c r="B18" i="60" s="1"/>
  <c r="D134" i="25"/>
  <c r="D133" i="25"/>
  <c r="D135" i="25" s="1"/>
  <c r="C130" i="25" s="1"/>
  <c r="C135" i="25" s="1"/>
  <c r="D124" i="25"/>
  <c r="C124" i="25"/>
  <c r="D120" i="25"/>
  <c r="D129" i="25" s="1"/>
  <c r="C120" i="25"/>
  <c r="C129" i="25" s="1"/>
  <c r="G114" i="25"/>
  <c r="G113" i="25"/>
  <c r="G112" i="25"/>
  <c r="G111" i="25"/>
  <c r="G110" i="25"/>
  <c r="G108" i="25"/>
  <c r="F107" i="25"/>
  <c r="E107" i="25"/>
  <c r="D107" i="25"/>
  <c r="C107" i="25"/>
  <c r="G107" i="25" s="1"/>
  <c r="G105" i="25"/>
  <c r="G103" i="25"/>
  <c r="G102" i="25"/>
  <c r="G101" i="25"/>
  <c r="G100" i="25"/>
  <c r="G98" i="25"/>
  <c r="F97" i="25"/>
  <c r="F115" i="25" s="1"/>
  <c r="F75" i="25" s="1"/>
  <c r="E97" i="25"/>
  <c r="E115" i="25" s="1"/>
  <c r="D97" i="25"/>
  <c r="D115" i="25" s="1"/>
  <c r="D75" i="25" s="1"/>
  <c r="D95" i="25" s="1"/>
  <c r="C97" i="25"/>
  <c r="G96" i="25"/>
  <c r="G94" i="25"/>
  <c r="G93" i="25"/>
  <c r="G92" i="25"/>
  <c r="G91" i="25"/>
  <c r="G90" i="25"/>
  <c r="G89" i="25"/>
  <c r="G88" i="25"/>
  <c r="G87" i="25"/>
  <c r="F86" i="25"/>
  <c r="E86" i="25"/>
  <c r="D86" i="25"/>
  <c r="C86" i="25"/>
  <c r="G85" i="25"/>
  <c r="G84" i="25"/>
  <c r="G83" i="25"/>
  <c r="G82" i="25"/>
  <c r="G81" i="25"/>
  <c r="G79" i="25"/>
  <c r="G78" i="25"/>
  <c r="G77" i="25"/>
  <c r="F76" i="25"/>
  <c r="E76" i="25"/>
  <c r="D76" i="25"/>
  <c r="C76" i="25"/>
  <c r="D69" i="25"/>
  <c r="C69" i="25"/>
  <c r="C67" i="25"/>
  <c r="D64" i="25"/>
  <c r="C64" i="25"/>
  <c r="D54" i="25"/>
  <c r="C54" i="25"/>
  <c r="D51" i="25"/>
  <c r="C51" i="25"/>
  <c r="D49" i="25"/>
  <c r="C49" i="25"/>
  <c r="E45" i="25"/>
  <c r="F45" i="25" s="1"/>
  <c r="C45" i="25"/>
  <c r="D44" i="25" s="1"/>
  <c r="F44" i="25"/>
  <c r="F43" i="25"/>
  <c r="F42" i="25"/>
  <c r="F41" i="25"/>
  <c r="D41" i="25"/>
  <c r="F40" i="25"/>
  <c r="F39" i="25"/>
  <c r="D39" i="25"/>
  <c r="F38" i="25"/>
  <c r="G32" i="25"/>
  <c r="G31" i="25"/>
  <c r="G30" i="25"/>
  <c r="G29" i="25"/>
  <c r="G28" i="25"/>
  <c r="G27" i="25"/>
  <c r="E23" i="25"/>
  <c r="F22" i="25" s="1"/>
  <c r="C23" i="25"/>
  <c r="D22" i="25" s="1"/>
  <c r="F20" i="25"/>
  <c r="F19" i="25"/>
  <c r="F17" i="25"/>
  <c r="D17" i="25"/>
  <c r="G11" i="25"/>
  <c r="G10" i="25"/>
  <c r="G9" i="25"/>
  <c r="G8" i="25"/>
  <c r="C43" i="26"/>
  <c r="B43" i="26"/>
  <c r="C40" i="26"/>
  <c r="C38" i="26"/>
  <c r="B38" i="26"/>
  <c r="B37" i="26" s="1"/>
  <c r="C5" i="26"/>
  <c r="B5" i="26"/>
  <c r="C4" i="26"/>
  <c r="B4" i="26"/>
  <c r="B64" i="27"/>
  <c r="B81" i="27"/>
  <c r="C114" i="27"/>
  <c r="C108" i="27"/>
  <c r="B108" i="27"/>
  <c r="C106" i="27"/>
  <c r="B106" i="27"/>
  <c r="C103" i="27"/>
  <c r="C95" i="27"/>
  <c r="C94" i="27" s="1"/>
  <c r="C105" i="27" s="1"/>
  <c r="C109" i="27" s="1"/>
  <c r="C113" i="27" s="1"/>
  <c r="B95" i="27"/>
  <c r="B94" i="27" s="1"/>
  <c r="B105" i="27" s="1"/>
  <c r="B109" i="27" s="1"/>
  <c r="C93" i="27"/>
  <c r="B93" i="27"/>
  <c r="C88" i="27"/>
  <c r="C87" i="27"/>
  <c r="B89" i="27"/>
  <c r="C86" i="27"/>
  <c r="B86" i="27"/>
  <c r="H79" i="27"/>
  <c r="G79" i="27"/>
  <c r="F79" i="27"/>
  <c r="E79" i="27"/>
  <c r="D79" i="27"/>
  <c r="C79" i="27"/>
  <c r="H78" i="27"/>
  <c r="G78" i="27"/>
  <c r="F78" i="27"/>
  <c r="E78" i="27"/>
  <c r="D78" i="27"/>
  <c r="C78" i="27"/>
  <c r="H76" i="27"/>
  <c r="G76" i="27"/>
  <c r="G80" i="27" s="1"/>
  <c r="F76" i="27"/>
  <c r="F80" i="27" s="1"/>
  <c r="E76" i="27"/>
  <c r="E80" i="27" s="1"/>
  <c r="D76" i="27"/>
  <c r="D80" i="27" s="1"/>
  <c r="C76" i="27"/>
  <c r="B75" i="27"/>
  <c r="B79" i="27" s="1"/>
  <c r="B74" i="27"/>
  <c r="H72" i="27"/>
  <c r="B72" i="27"/>
  <c r="B70" i="27"/>
  <c r="H62" i="27"/>
  <c r="G62" i="27"/>
  <c r="F62" i="27"/>
  <c r="E62" i="27"/>
  <c r="D62" i="27"/>
  <c r="C62" i="27"/>
  <c r="B62" i="27"/>
  <c r="H61" i="27"/>
  <c r="F61" i="27"/>
  <c r="E61" i="27"/>
  <c r="D61" i="27"/>
  <c r="C61" i="27"/>
  <c r="H59" i="27"/>
  <c r="F59" i="27"/>
  <c r="F63" i="27" s="1"/>
  <c r="E59" i="27"/>
  <c r="E63" i="27" s="1"/>
  <c r="D59" i="27"/>
  <c r="D63" i="27" s="1"/>
  <c r="C59" i="27"/>
  <c r="C63" i="27" s="1"/>
  <c r="G57" i="27"/>
  <c r="B57" i="27" s="1"/>
  <c r="H55" i="27"/>
  <c r="B53" i="27"/>
  <c r="C40" i="27"/>
  <c r="C39" i="27"/>
  <c r="C38" i="27" s="1"/>
  <c r="B38" i="27"/>
  <c r="C32" i="27"/>
  <c r="B32" i="27"/>
  <c r="C23" i="27"/>
  <c r="B23" i="27"/>
  <c r="C17" i="27"/>
  <c r="B17" i="27"/>
  <c r="C14" i="27"/>
  <c r="B14" i="27"/>
  <c r="C5" i="27"/>
  <c r="C10" i="27" s="1"/>
  <c r="B5" i="27"/>
  <c r="C4" i="27"/>
  <c r="B4" i="27"/>
  <c r="B37" i="5"/>
  <c r="B42" i="5" s="1"/>
  <c r="C35" i="5"/>
  <c r="B35" i="5"/>
  <c r="C33" i="5"/>
  <c r="B33" i="5"/>
  <c r="B32" i="5"/>
  <c r="C31" i="5"/>
  <c r="C30" i="5"/>
  <c r="C24" i="5"/>
  <c r="C32" i="5" s="1"/>
  <c r="C21" i="5"/>
  <c r="B21" i="5"/>
  <c r="C17" i="5"/>
  <c r="B17" i="5"/>
  <c r="C12" i="5"/>
  <c r="B12" i="5"/>
  <c r="B9" i="5"/>
  <c r="C6" i="5"/>
  <c r="C5" i="5"/>
  <c r="B5" i="5"/>
  <c r="C4" i="11"/>
  <c r="D4" i="11"/>
  <c r="C5" i="11"/>
  <c r="D5" i="11"/>
  <c r="C6" i="11"/>
  <c r="D6" i="11"/>
  <c r="C7" i="11"/>
  <c r="D7" i="11"/>
  <c r="C8" i="11"/>
  <c r="D8" i="11"/>
  <c r="C9" i="11"/>
  <c r="D9" i="11"/>
  <c r="C10" i="11"/>
  <c r="D10" i="11"/>
  <c r="C11" i="11"/>
  <c r="D11" i="11"/>
  <c r="C12" i="11"/>
  <c r="D12" i="11"/>
  <c r="C23" i="11"/>
  <c r="D23" i="11"/>
  <c r="C24" i="11"/>
  <c r="D24" i="11"/>
  <c r="D39" i="11" s="1"/>
  <c r="C29" i="11"/>
  <c r="D29" i="11"/>
  <c r="C34" i="11"/>
  <c r="D34" i="11"/>
  <c r="C39" i="11"/>
  <c r="C43" i="11"/>
  <c r="D43" i="11"/>
  <c r="C44" i="11"/>
  <c r="D44" i="11"/>
  <c r="C45" i="11"/>
  <c r="D45" i="11"/>
  <c r="D50" i="11" s="1"/>
  <c r="C50" i="11"/>
  <c r="B23" i="60" l="1"/>
  <c r="B9" i="27"/>
  <c r="B10" i="27"/>
  <c r="B29" i="27"/>
  <c r="H63" i="27"/>
  <c r="B78" i="27"/>
  <c r="C18" i="5"/>
  <c r="C19" i="5" s="1"/>
  <c r="D13" i="11"/>
  <c r="D18" i="11" s="1"/>
  <c r="G76" i="25"/>
  <c r="G86" i="25"/>
  <c r="C26" i="63"/>
  <c r="C13" i="11"/>
  <c r="C18" i="11" s="1"/>
  <c r="B18" i="5"/>
  <c r="B19" i="5" s="1"/>
  <c r="C9" i="27"/>
  <c r="C29" i="27"/>
  <c r="C44" i="27"/>
  <c r="B61" i="27"/>
  <c r="F18" i="25"/>
  <c r="F23" i="25" s="1"/>
  <c r="F21" i="25"/>
  <c r="G97" i="25"/>
  <c r="C115" i="25"/>
  <c r="C75" i="25" s="1"/>
  <c r="C95" i="25" s="1"/>
  <c r="F95" i="25"/>
  <c r="C89" i="27"/>
  <c r="D19" i="25"/>
  <c r="D58" i="25"/>
  <c r="C50" i="25" s="1"/>
  <c r="C58" i="25" s="1"/>
  <c r="E26" i="63"/>
  <c r="B76" i="27"/>
  <c r="B80" i="27" s="1"/>
  <c r="H80" i="27"/>
  <c r="C37" i="26"/>
  <c r="B48" i="26"/>
  <c r="B24" i="60"/>
  <c r="E75" i="25"/>
  <c r="E95" i="25" s="1"/>
  <c r="D21" i="25"/>
  <c r="D45" i="25"/>
  <c r="D43" i="25"/>
  <c r="D18" i="25"/>
  <c r="D20" i="25"/>
  <c r="D38" i="25"/>
  <c r="D40" i="25"/>
  <c r="D42" i="25"/>
  <c r="C48" i="26"/>
  <c r="B111" i="27"/>
  <c r="B113" i="27"/>
  <c r="B114" i="27" s="1"/>
  <c r="B44" i="27"/>
  <c r="B55" i="27"/>
  <c r="G61" i="27"/>
  <c r="C80" i="27"/>
  <c r="G59" i="27"/>
  <c r="G63" i="27" s="1"/>
  <c r="C37" i="5"/>
  <c r="C42" i="5" s="1"/>
  <c r="B46" i="27" l="1"/>
  <c r="B47" i="27" s="1"/>
  <c r="D23" i="25"/>
  <c r="G75" i="25"/>
  <c r="G95" i="25" s="1"/>
  <c r="C46" i="27"/>
  <c r="C47" i="27" s="1"/>
  <c r="G115" i="25"/>
  <c r="B59" i="27"/>
  <c r="B63" i="27" s="1"/>
  <c r="D58" i="17" l="1"/>
  <c r="C58" i="17"/>
  <c r="E49" i="4"/>
  <c r="H44" i="18"/>
  <c r="B33" i="45" l="1"/>
  <c r="B31" i="45"/>
  <c r="I10" i="9" l="1"/>
  <c r="K10" i="9" s="1"/>
  <c r="I14" i="9" l="1"/>
  <c r="K14" i="9"/>
  <c r="D21" i="45" l="1"/>
  <c r="D51" i="4" l="1"/>
  <c r="E116" i="4" l="1"/>
  <c r="E119" i="4"/>
  <c r="E118" i="4"/>
  <c r="E95" i="4"/>
  <c r="D95" i="4" s="1"/>
  <c r="F95" i="4"/>
  <c r="G51" i="4"/>
  <c r="F51" i="4"/>
  <c r="E51" i="4"/>
  <c r="E48" i="4"/>
  <c r="D27" i="4"/>
  <c r="E117" i="4" l="1"/>
  <c r="H19" i="45"/>
  <c r="G19" i="45"/>
  <c r="F19" i="45"/>
  <c r="E19" i="45"/>
  <c r="D19" i="45"/>
  <c r="C19" i="45"/>
  <c r="H16" i="45"/>
  <c r="G16" i="45"/>
  <c r="F16" i="45"/>
  <c r="E16" i="45"/>
  <c r="D16" i="45"/>
  <c r="B19" i="45" l="1"/>
  <c r="C16" i="45"/>
  <c r="B16" i="45" s="1"/>
  <c r="B11" i="37"/>
  <c r="B10" i="37"/>
  <c r="B8" i="37"/>
  <c r="B6" i="37"/>
  <c r="B5" i="37"/>
  <c r="I11" i="9" l="1"/>
  <c r="K11" i="9" s="1"/>
  <c r="C68" i="36" l="1"/>
  <c r="C58" i="36"/>
  <c r="C49" i="36"/>
  <c r="C48" i="36"/>
  <c r="C44" i="36"/>
  <c r="C43" i="36" s="1"/>
  <c r="C36" i="36"/>
  <c r="C26" i="36"/>
  <c r="C16" i="36"/>
  <c r="C13" i="36"/>
  <c r="C12" i="36"/>
  <c r="C11" i="36"/>
  <c r="C20" i="35"/>
  <c r="C12" i="35"/>
  <c r="D37" i="31"/>
  <c r="C37" i="31"/>
  <c r="D29" i="31"/>
  <c r="C29" i="31"/>
  <c r="C41" i="23"/>
  <c r="C11" i="47"/>
  <c r="C6" i="47"/>
  <c r="C5" i="47"/>
  <c r="C38" i="45"/>
  <c r="C29" i="45"/>
  <c r="C11" i="37"/>
  <c r="C8" i="37"/>
  <c r="C5" i="37"/>
  <c r="B84" i="59"/>
  <c r="C48" i="59"/>
  <c r="C34" i="59"/>
  <c r="C37" i="59" s="1"/>
  <c r="B13" i="59"/>
  <c r="B14" i="59" s="1"/>
  <c r="C13" i="59"/>
  <c r="C14" i="59" s="1"/>
  <c r="D27" i="22"/>
  <c r="D70" i="18"/>
  <c r="E70" i="18"/>
  <c r="F70" i="18"/>
  <c r="G70" i="18"/>
  <c r="C70" i="18"/>
  <c r="D66" i="18"/>
  <c r="E66" i="18"/>
  <c r="F66" i="18"/>
  <c r="G66" i="18"/>
  <c r="G75" i="18" s="1"/>
  <c r="C66" i="18"/>
  <c r="H67" i="18"/>
  <c r="H68" i="18"/>
  <c r="H69" i="18"/>
  <c r="H71" i="18"/>
  <c r="H72" i="18"/>
  <c r="H73" i="18"/>
  <c r="H74" i="18"/>
  <c r="H65" i="18"/>
  <c r="D57" i="18"/>
  <c r="E57" i="18"/>
  <c r="F57" i="18"/>
  <c r="G57" i="18"/>
  <c r="C57" i="18"/>
  <c r="D49" i="18"/>
  <c r="D64" i="18" s="1"/>
  <c r="E49" i="18"/>
  <c r="E64" i="18" s="1"/>
  <c r="F49" i="18"/>
  <c r="G49" i="18"/>
  <c r="C49" i="18"/>
  <c r="C64" i="18" s="1"/>
  <c r="H59" i="18"/>
  <c r="H50" i="18"/>
  <c r="H48" i="18"/>
  <c r="D9" i="50"/>
  <c r="C45" i="45" l="1"/>
  <c r="F64" i="18"/>
  <c r="F76" i="18" s="1"/>
  <c r="C75" i="18"/>
  <c r="D75" i="18"/>
  <c r="F75" i="18"/>
  <c r="C12" i="37"/>
  <c r="C17" i="47"/>
  <c r="E75" i="18"/>
  <c r="H70" i="18"/>
  <c r="E76" i="18"/>
  <c r="D76" i="18"/>
  <c r="G64" i="18"/>
  <c r="G76" i="18" s="1"/>
  <c r="H57" i="18"/>
  <c r="C76" i="18"/>
  <c r="H75" i="18"/>
  <c r="H66" i="18"/>
  <c r="H49" i="18"/>
  <c r="D7" i="18"/>
  <c r="C33" i="10"/>
  <c r="C29" i="10"/>
  <c r="C23" i="10"/>
  <c r="C17" i="10"/>
  <c r="C6" i="10"/>
  <c r="D107" i="4"/>
  <c r="D106" i="4"/>
  <c r="D105" i="4"/>
  <c r="D104" i="4"/>
  <c r="L89" i="4"/>
  <c r="L88" i="4"/>
  <c r="L87" i="4"/>
  <c r="L86" i="4"/>
  <c r="E85" i="4"/>
  <c r="L85" i="4" s="1"/>
  <c r="E84" i="4"/>
  <c r="L84" i="4" s="1"/>
  <c r="K83" i="4"/>
  <c r="J83" i="4"/>
  <c r="I83" i="4"/>
  <c r="H83" i="4"/>
  <c r="L81" i="4"/>
  <c r="E80" i="4"/>
  <c r="L80" i="4" s="1"/>
  <c r="K79" i="4"/>
  <c r="J79" i="4"/>
  <c r="I79" i="4"/>
  <c r="H79" i="4"/>
  <c r="G79" i="4"/>
  <c r="F79" i="4"/>
  <c r="D79" i="4"/>
  <c r="L78" i="4"/>
  <c r="E77" i="4"/>
  <c r="L77" i="4" s="1"/>
  <c r="K76" i="4"/>
  <c r="J76" i="4"/>
  <c r="I76" i="4"/>
  <c r="H76" i="4"/>
  <c r="G76" i="4"/>
  <c r="F76" i="4"/>
  <c r="D76" i="4"/>
  <c r="E74" i="4"/>
  <c r="L74" i="4" s="1"/>
  <c r="E73" i="4"/>
  <c r="L73" i="4" s="1"/>
  <c r="L71" i="4"/>
  <c r="L70" i="4"/>
  <c r="L69" i="4"/>
  <c r="L68" i="4"/>
  <c r="E67" i="4"/>
  <c r="E66" i="4"/>
  <c r="L66" i="4" s="1"/>
  <c r="E65" i="4"/>
  <c r="L65" i="4" s="1"/>
  <c r="E64" i="4"/>
  <c r="L64" i="4" s="1"/>
  <c r="J63" i="4"/>
  <c r="J72" i="4" s="1"/>
  <c r="J75" i="4" s="1"/>
  <c r="I63" i="4"/>
  <c r="I72" i="4" s="1"/>
  <c r="I75" i="4" s="1"/>
  <c r="H63" i="4"/>
  <c r="H72" i="4" s="1"/>
  <c r="H75" i="4" s="1"/>
  <c r="G63" i="4"/>
  <c r="G72" i="4" s="1"/>
  <c r="G75" i="4" s="1"/>
  <c r="F63" i="4"/>
  <c r="F72" i="4" s="1"/>
  <c r="F75" i="4" s="1"/>
  <c r="E62" i="4"/>
  <c r="D62" i="4"/>
  <c r="E61" i="4"/>
  <c r="L61" i="4" s="1"/>
  <c r="E60" i="4"/>
  <c r="K60" i="4" s="1"/>
  <c r="E59" i="4"/>
  <c r="L59" i="4" s="1"/>
  <c r="C11" i="4"/>
  <c r="C12" i="4"/>
  <c r="C9" i="4"/>
  <c r="D12" i="4"/>
  <c r="D11" i="4"/>
  <c r="D9" i="4"/>
  <c r="C5" i="4"/>
  <c r="D5" i="4"/>
  <c r="D41" i="6"/>
  <c r="D36" i="6"/>
  <c r="D29" i="6"/>
  <c r="D23" i="6"/>
  <c r="D6" i="6"/>
  <c r="E21" i="8"/>
  <c r="E13" i="8"/>
  <c r="E4" i="8"/>
  <c r="E3" i="8" s="1"/>
  <c r="E15" i="3"/>
  <c r="E6" i="3"/>
  <c r="E3" i="3"/>
  <c r="E27" i="3" s="1"/>
  <c r="E13" i="53"/>
  <c r="E4" i="53"/>
  <c r="E16" i="7"/>
  <c r="E21" i="7" s="1"/>
  <c r="E26" i="7" s="1"/>
  <c r="E29" i="7" s="1"/>
  <c r="E31" i="7" s="1"/>
  <c r="E7" i="7"/>
  <c r="D19" i="11" s="1"/>
  <c r="E3" i="7"/>
  <c r="E76" i="4" l="1"/>
  <c r="H64" i="18"/>
  <c r="E32" i="8"/>
  <c r="E31" i="8"/>
  <c r="D5" i="6"/>
  <c r="D51" i="6"/>
  <c r="H76" i="18"/>
  <c r="D34" i="6"/>
  <c r="L63" i="4"/>
  <c r="E79" i="4"/>
  <c r="E34" i="7"/>
  <c r="E41" i="7"/>
  <c r="E37" i="7"/>
  <c r="E40" i="7"/>
  <c r="E38" i="7"/>
  <c r="E3" i="53"/>
  <c r="E17" i="53" s="1"/>
  <c r="E19" i="53" s="1"/>
  <c r="D18" i="6"/>
  <c r="D21" i="6" s="1"/>
  <c r="L79" i="4"/>
  <c r="D63" i="4"/>
  <c r="D72" i="4" s="1"/>
  <c r="D75" i="4" s="1"/>
  <c r="L76" i="4"/>
  <c r="L83" i="4"/>
  <c r="L75" i="4"/>
  <c r="E63" i="4"/>
  <c r="E72" i="4" s="1"/>
  <c r="E75" i="4" s="1"/>
  <c r="K62" i="4"/>
  <c r="L62" i="4" s="1"/>
  <c r="L60" i="4"/>
  <c r="D52" i="6" l="1"/>
  <c r="D56" i="6" s="1"/>
  <c r="K63" i="4"/>
  <c r="K72" i="4" s="1"/>
  <c r="K75" i="4" s="1"/>
  <c r="C119" i="4"/>
  <c r="C118" i="4"/>
  <c r="C117" i="4"/>
  <c r="E114" i="4"/>
  <c r="D9" i="56"/>
  <c r="C9" i="56"/>
  <c r="C6" i="6" l="1"/>
  <c r="K26" i="4" l="1"/>
  <c r="L26" i="4" s="1"/>
  <c r="L25" i="4"/>
  <c r="K24" i="4"/>
  <c r="L24" i="4" s="1"/>
  <c r="K27" i="4" l="1"/>
  <c r="C75" i="59" l="1"/>
  <c r="E75" i="59"/>
  <c r="B75" i="59"/>
  <c r="A51" i="59"/>
  <c r="A73" i="59"/>
  <c r="I12" i="9" l="1"/>
  <c r="I13" i="9"/>
  <c r="I15" i="9"/>
  <c r="I16" i="9"/>
  <c r="I17" i="9"/>
  <c r="I18" i="9"/>
  <c r="I19" i="9"/>
  <c r="K18" i="9" l="1"/>
  <c r="C24" i="59" l="1"/>
  <c r="C25" i="59" s="1"/>
  <c r="E36" i="43"/>
  <c r="E35" i="43"/>
  <c r="E34" i="43"/>
  <c r="E33" i="43"/>
  <c r="E32" i="43"/>
  <c r="D31" i="43"/>
  <c r="C31" i="43"/>
  <c r="B31" i="43"/>
  <c r="E30" i="43"/>
  <c r="E29" i="43"/>
  <c r="E28" i="43"/>
  <c r="D25" i="43"/>
  <c r="B25" i="43"/>
  <c r="B37" i="43" s="1"/>
  <c r="C49" i="43"/>
  <c r="C44" i="43"/>
  <c r="H50" i="17"/>
  <c r="C25" i="43" l="1"/>
  <c r="C37" i="43" s="1"/>
  <c r="C53" i="43"/>
  <c r="D37" i="43"/>
  <c r="C6" i="35" l="1"/>
  <c r="C17" i="35" s="1"/>
  <c r="B6" i="35"/>
  <c r="B17" i="35" s="1"/>
  <c r="C9" i="23"/>
  <c r="C7" i="45"/>
  <c r="I19" i="45" s="1"/>
  <c r="C22" i="24"/>
  <c r="C26" i="24" s="1"/>
  <c r="C13" i="24"/>
  <c r="D31" i="50"/>
  <c r="D21" i="50"/>
  <c r="D16" i="50"/>
  <c r="D26" i="50" s="1"/>
  <c r="D54" i="17"/>
  <c r="C54" i="17"/>
  <c r="B48" i="17"/>
  <c r="B38" i="17"/>
  <c r="B37" i="17"/>
  <c r="B26" i="17"/>
  <c r="E32" i="18"/>
  <c r="C89" i="12"/>
  <c r="D33" i="50" l="1"/>
  <c r="C8" i="36"/>
  <c r="D9" i="12"/>
  <c r="D6" i="12"/>
  <c r="D12" i="12" s="1"/>
  <c r="E120" i="4"/>
  <c r="M87" i="4"/>
  <c r="M72" i="4"/>
  <c r="M51" i="4"/>
  <c r="D10" i="4"/>
  <c r="D13" i="4" s="1"/>
  <c r="D15" i="4" s="1"/>
  <c r="F5" i="9"/>
  <c r="M75" i="4"/>
  <c r="E40" i="4"/>
  <c r="E43" i="4"/>
  <c r="E121" i="4"/>
  <c r="F120" i="4" l="1"/>
  <c r="F116" i="4"/>
  <c r="F118" i="4"/>
  <c r="F119" i="4"/>
  <c r="F117" i="4"/>
  <c r="C20" i="47"/>
  <c r="D16" i="4"/>
  <c r="M79" i="4"/>
  <c r="M76" i="4"/>
  <c r="E27" i="4"/>
  <c r="E36" i="4" s="1"/>
  <c r="E39" i="4" s="1"/>
  <c r="D57" i="17"/>
  <c r="C57" i="17"/>
  <c r="H47" i="17"/>
  <c r="H46" i="17"/>
  <c r="H45" i="17"/>
  <c r="H44" i="17"/>
  <c r="G43" i="17"/>
  <c r="F43" i="17"/>
  <c r="E43" i="17"/>
  <c r="D43" i="17"/>
  <c r="C43" i="17"/>
  <c r="H42" i="17"/>
  <c r="H41" i="17"/>
  <c r="H40" i="17"/>
  <c r="G39" i="17"/>
  <c r="F39" i="17"/>
  <c r="E39" i="17"/>
  <c r="D39" i="17"/>
  <c r="C39" i="17"/>
  <c r="H36" i="17"/>
  <c r="H35" i="17"/>
  <c r="H34" i="17"/>
  <c r="H33" i="17"/>
  <c r="G32" i="17"/>
  <c r="F32" i="17"/>
  <c r="E32" i="17"/>
  <c r="D32" i="17"/>
  <c r="C32" i="17"/>
  <c r="H31" i="17"/>
  <c r="H30" i="17"/>
  <c r="H29" i="17"/>
  <c r="H28" i="17"/>
  <c r="G27" i="17"/>
  <c r="E27" i="17"/>
  <c r="D27" i="17"/>
  <c r="C27" i="17"/>
  <c r="C37" i="17" l="1"/>
  <c r="F48" i="17"/>
  <c r="H32" i="17"/>
  <c r="E48" i="17"/>
  <c r="H39" i="17"/>
  <c r="G37" i="17"/>
  <c r="H43" i="17"/>
  <c r="D37" i="17"/>
  <c r="H27" i="17"/>
  <c r="C48" i="17"/>
  <c r="E37" i="17"/>
  <c r="D48" i="17"/>
  <c r="G48" i="17"/>
  <c r="F27" i="17"/>
  <c r="F37" i="17" s="1"/>
  <c r="H37" i="17" l="1"/>
  <c r="F49" i="17"/>
  <c r="G49" i="17"/>
  <c r="E49" i="17"/>
  <c r="D49" i="17"/>
  <c r="C49" i="17"/>
  <c r="H38" i="17"/>
  <c r="H48" i="17" s="1"/>
  <c r="H26" i="17"/>
  <c r="H49" i="17" l="1"/>
  <c r="D108" i="4" l="1"/>
  <c r="D99" i="4"/>
  <c r="D98" i="4"/>
  <c r="D97" i="4"/>
  <c r="D96" i="4"/>
  <c r="L53" i="4"/>
  <c r="L52" i="4"/>
  <c r="L51" i="4"/>
  <c r="L50" i="4"/>
  <c r="K47" i="4"/>
  <c r="J47" i="4"/>
  <c r="I47" i="4"/>
  <c r="H47" i="4"/>
  <c r="L45" i="4"/>
  <c r="L44" i="4"/>
  <c r="K43" i="4"/>
  <c r="J43" i="4"/>
  <c r="I43" i="4"/>
  <c r="H43" i="4"/>
  <c r="G43" i="4"/>
  <c r="F43" i="4"/>
  <c r="D43" i="4"/>
  <c r="L42" i="4"/>
  <c r="L41" i="4"/>
  <c r="K40" i="4"/>
  <c r="J40" i="4"/>
  <c r="I40" i="4"/>
  <c r="H40" i="4"/>
  <c r="G40" i="4"/>
  <c r="F40" i="4"/>
  <c r="D40" i="4"/>
  <c r="K36" i="4"/>
  <c r="K39" i="4" s="1"/>
  <c r="L35" i="4"/>
  <c r="L34" i="4"/>
  <c r="L33" i="4"/>
  <c r="L32" i="4"/>
  <c r="L30" i="4"/>
  <c r="L28" i="4"/>
  <c r="J27" i="4"/>
  <c r="J36" i="4" s="1"/>
  <c r="J39" i="4" s="1"/>
  <c r="I27" i="4"/>
  <c r="I36" i="4" s="1"/>
  <c r="I39" i="4" s="1"/>
  <c r="H27" i="4"/>
  <c r="H36" i="4" s="1"/>
  <c r="H39" i="4" s="1"/>
  <c r="G27" i="4"/>
  <c r="G36" i="4" s="1"/>
  <c r="G39" i="4" s="1"/>
  <c r="F27" i="4"/>
  <c r="F36" i="4" s="1"/>
  <c r="C10" i="4"/>
  <c r="F39" i="4" l="1"/>
  <c r="C13" i="4"/>
  <c r="C15" i="4" s="1"/>
  <c r="L48" i="4"/>
  <c r="L27" i="4"/>
  <c r="L43" i="4"/>
  <c r="L37" i="4"/>
  <c r="L38" i="4"/>
  <c r="L29" i="4"/>
  <c r="L31" i="4"/>
  <c r="L47" i="4"/>
  <c r="L49" i="4"/>
  <c r="L40" i="4"/>
  <c r="D36" i="4"/>
  <c r="D39" i="4" s="1"/>
  <c r="L36" i="4" l="1"/>
  <c r="L39" i="4" l="1"/>
  <c r="B36" i="36" l="1"/>
  <c r="B43" i="36" l="1"/>
  <c r="B58" i="36"/>
  <c r="B48" i="36"/>
  <c r="B26" i="36"/>
  <c r="G16" i="18"/>
  <c r="C9" i="18"/>
  <c r="C10" i="18" s="1"/>
  <c r="E8" i="43"/>
  <c r="B11" i="36"/>
  <c r="B15" i="22"/>
  <c r="D21" i="8"/>
  <c r="B20" i="64" s="1"/>
  <c r="C20" i="64" s="1"/>
  <c r="G84" i="59"/>
  <c r="F84" i="59"/>
  <c r="E84" i="59"/>
  <c r="D84" i="59"/>
  <c r="C84" i="59"/>
  <c r="G75" i="59"/>
  <c r="F75" i="59"/>
  <c r="E62" i="59"/>
  <c r="G62" i="59"/>
  <c r="F62" i="59"/>
  <c r="D62" i="59"/>
  <c r="C62" i="59"/>
  <c r="B62" i="59"/>
  <c r="G53" i="59"/>
  <c r="F53" i="59"/>
  <c r="E53" i="59"/>
  <c r="D53" i="59"/>
  <c r="C53" i="59"/>
  <c r="B53" i="59"/>
  <c r="B34" i="59"/>
  <c r="B37" i="59" s="1"/>
  <c r="B24" i="59"/>
  <c r="B25" i="59" s="1"/>
  <c r="B5" i="47"/>
  <c r="B17" i="47" s="1"/>
  <c r="B20" i="47" s="1"/>
  <c r="B11" i="47"/>
  <c r="C27" i="22"/>
  <c r="D15" i="22"/>
  <c r="C15" i="22"/>
  <c r="C7" i="22"/>
  <c r="B7" i="22"/>
  <c r="B20" i="35"/>
  <c r="B12" i="35"/>
  <c r="D14" i="31"/>
  <c r="D25" i="31"/>
  <c r="D18" i="31"/>
  <c r="D5" i="31"/>
  <c r="B13" i="24"/>
  <c r="B16" i="24" s="1"/>
  <c r="D28" i="23"/>
  <c r="D17" i="23" s="1"/>
  <c r="D21" i="23" s="1"/>
  <c r="B4" i="36"/>
  <c r="B10" i="36"/>
  <c r="B16" i="36"/>
  <c r="B68" i="36"/>
  <c r="C5" i="31"/>
  <c r="C14" i="31"/>
  <c r="C18" i="31"/>
  <c r="C25" i="31"/>
  <c r="B5" i="34"/>
  <c r="C5" i="34"/>
  <c r="B6" i="34"/>
  <c r="C6" i="34"/>
  <c r="B7" i="34"/>
  <c r="C7" i="34"/>
  <c r="B8" i="34"/>
  <c r="C8" i="34"/>
  <c r="B4" i="23"/>
  <c r="C4" i="23"/>
  <c r="B9" i="23"/>
  <c r="B12" i="23" s="1"/>
  <c r="C12" i="23"/>
  <c r="B28" i="23"/>
  <c r="B21" i="23" s="1"/>
  <c r="C28" i="23"/>
  <c r="C17" i="23" s="1"/>
  <c r="C21" i="23" s="1"/>
  <c r="E28" i="23"/>
  <c r="E17" i="23" s="1"/>
  <c r="E21" i="23" s="1"/>
  <c r="B35" i="23"/>
  <c r="C35" i="23"/>
  <c r="B41" i="23"/>
  <c r="B44" i="23" s="1"/>
  <c r="C44" i="23"/>
  <c r="B4" i="47"/>
  <c r="C4" i="47"/>
  <c r="B6" i="45"/>
  <c r="C6" i="45"/>
  <c r="B7" i="45"/>
  <c r="C10" i="45"/>
  <c r="B28" i="45"/>
  <c r="C28" i="45"/>
  <c r="B29" i="45"/>
  <c r="B38" i="45"/>
  <c r="B5" i="24"/>
  <c r="C5" i="24"/>
  <c r="C16" i="24"/>
  <c r="B20" i="24"/>
  <c r="C20" i="24"/>
  <c r="B22" i="24"/>
  <c r="B26" i="24" s="1"/>
  <c r="B37" i="24"/>
  <c r="C37" i="24"/>
  <c r="B47" i="24"/>
  <c r="C47" i="24"/>
  <c r="B52" i="24"/>
  <c r="D52" i="24"/>
  <c r="C59" i="24"/>
  <c r="E59" i="24"/>
  <c r="E60" i="24" s="1"/>
  <c r="B4" i="37"/>
  <c r="C4" i="37"/>
  <c r="B12" i="37"/>
  <c r="B13" i="37" s="1"/>
  <c r="C13" i="37"/>
  <c r="B7" i="43"/>
  <c r="C7" i="43"/>
  <c r="D7" i="43"/>
  <c r="E9" i="43"/>
  <c r="E10" i="43"/>
  <c r="E11" i="43"/>
  <c r="E12" i="43"/>
  <c r="B13" i="43"/>
  <c r="C13" i="43"/>
  <c r="D13" i="43"/>
  <c r="E14" i="43"/>
  <c r="E15" i="43"/>
  <c r="E16" i="43"/>
  <c r="E17" i="43"/>
  <c r="E18" i="43"/>
  <c r="B42" i="43"/>
  <c r="C42" i="43"/>
  <c r="B44" i="43"/>
  <c r="B49" i="43"/>
  <c r="C54" i="43"/>
  <c r="C6" i="50"/>
  <c r="D6" i="50"/>
  <c r="C9" i="50"/>
  <c r="C10" i="50" s="1"/>
  <c r="D10" i="50"/>
  <c r="C14" i="50"/>
  <c r="D14" i="50"/>
  <c r="C16" i="50"/>
  <c r="C21" i="50"/>
  <c r="C6" i="18"/>
  <c r="D6" i="18"/>
  <c r="D9" i="18"/>
  <c r="D10" i="18" s="1"/>
  <c r="C16" i="18"/>
  <c r="D16" i="18"/>
  <c r="F16" i="18"/>
  <c r="E16" i="18"/>
  <c r="H18" i="18"/>
  <c r="H20" i="18"/>
  <c r="H21" i="18"/>
  <c r="H22" i="18"/>
  <c r="H23" i="18"/>
  <c r="C24" i="18"/>
  <c r="D24" i="18"/>
  <c r="H19" i="18"/>
  <c r="F24" i="18"/>
  <c r="G24" i="18"/>
  <c r="H25" i="18"/>
  <c r="H27" i="18"/>
  <c r="H29" i="18"/>
  <c r="H30" i="18"/>
  <c r="F33" i="18"/>
  <c r="F37" i="18"/>
  <c r="C33" i="18"/>
  <c r="D33" i="18"/>
  <c r="G33" i="18"/>
  <c r="H35" i="18"/>
  <c r="H36" i="18"/>
  <c r="C37" i="18"/>
  <c r="D37" i="18"/>
  <c r="E37" i="18"/>
  <c r="G37" i="18"/>
  <c r="H39" i="18"/>
  <c r="H40" i="18"/>
  <c r="H41" i="18"/>
  <c r="C32" i="18"/>
  <c r="C5" i="14"/>
  <c r="D5" i="14"/>
  <c r="C7" i="14"/>
  <c r="D7" i="14"/>
  <c r="C9" i="14"/>
  <c r="D9" i="14"/>
  <c r="C16" i="14"/>
  <c r="D16" i="14"/>
  <c r="C18" i="14"/>
  <c r="C22" i="14" s="1"/>
  <c r="D18" i="14"/>
  <c r="D22" i="14" s="1"/>
  <c r="C5" i="12"/>
  <c r="D5" i="12"/>
  <c r="D17" i="12"/>
  <c r="D89" i="12"/>
  <c r="C93" i="12"/>
  <c r="D93" i="12"/>
  <c r="B5" i="10"/>
  <c r="C5" i="10"/>
  <c r="B18" i="10"/>
  <c r="B19" i="10" s="1"/>
  <c r="C18" i="10"/>
  <c r="C19" i="10" s="1"/>
  <c r="B22" i="10"/>
  <c r="C22" i="10"/>
  <c r="B34" i="10"/>
  <c r="B35" i="10" s="1"/>
  <c r="C34" i="10"/>
  <c r="C35" i="10" s="1"/>
  <c r="C3" i="6"/>
  <c r="D3" i="6"/>
  <c r="C23" i="6"/>
  <c r="C29" i="6"/>
  <c r="C36" i="6"/>
  <c r="C41" i="6"/>
  <c r="D26" i="64"/>
  <c r="E26" i="64" s="1"/>
  <c r="C5" i="9"/>
  <c r="I6" i="9"/>
  <c r="K6" i="9" s="1"/>
  <c r="I7" i="9"/>
  <c r="K7" i="9" s="1"/>
  <c r="H8" i="9"/>
  <c r="H20" i="9" s="1"/>
  <c r="I9" i="9"/>
  <c r="K9" i="9" s="1"/>
  <c r="K12" i="9"/>
  <c r="K13" i="9"/>
  <c r="K15" i="9"/>
  <c r="K16" i="9"/>
  <c r="K17" i="9"/>
  <c r="K19" i="9"/>
  <c r="D5" i="9"/>
  <c r="D8" i="9" s="1"/>
  <c r="D20" i="9" s="1"/>
  <c r="J5" i="9"/>
  <c r="J8" i="9" s="1"/>
  <c r="J20" i="9" s="1"/>
  <c r="F8" i="9"/>
  <c r="F20" i="9" s="1"/>
  <c r="D4" i="8"/>
  <c r="D3" i="8" s="1"/>
  <c r="D32" i="8" s="1"/>
  <c r="D13" i="8"/>
  <c r="D3" i="3"/>
  <c r="D15" i="3"/>
  <c r="B17" i="64" s="1"/>
  <c r="C17" i="64" s="1"/>
  <c r="D17" i="64"/>
  <c r="E17" i="64" s="1"/>
  <c r="D2" i="53"/>
  <c r="E2" i="53"/>
  <c r="D4" i="53"/>
  <c r="D13" i="53"/>
  <c r="D2" i="7"/>
  <c r="E2" i="7"/>
  <c r="D3" i="7"/>
  <c r="C95" i="4" s="1"/>
  <c r="D7" i="7"/>
  <c r="B4" i="64"/>
  <c r="D4" i="64"/>
  <c r="C12" i="64"/>
  <c r="E16" i="2"/>
  <c r="D7" i="64"/>
  <c r="E7" i="64" s="1"/>
  <c r="E12" i="64"/>
  <c r="D19" i="64"/>
  <c r="E19" i="64" s="1"/>
  <c r="C28" i="50"/>
  <c r="C31" i="50" s="1"/>
  <c r="E33" i="18"/>
  <c r="H34" i="18"/>
  <c r="C38" i="24"/>
  <c r="C46" i="45"/>
  <c r="D20" i="64"/>
  <c r="E20" i="64" s="1"/>
  <c r="D16" i="64"/>
  <c r="E16" i="64" s="1"/>
  <c r="B8" i="64" l="1"/>
  <c r="C8" i="64" s="1"/>
  <c r="C19" i="11"/>
  <c r="C51" i="6"/>
  <c r="B10" i="45"/>
  <c r="I16" i="45"/>
  <c r="H28" i="18"/>
  <c r="E42" i="18"/>
  <c r="C16" i="4"/>
  <c r="C116" i="4"/>
  <c r="B19" i="64"/>
  <c r="C19" i="64" s="1"/>
  <c r="M44" i="4"/>
  <c r="D27" i="3"/>
  <c r="M41" i="4" s="1"/>
  <c r="B7" i="64"/>
  <c r="C7" i="64" s="1"/>
  <c r="F92" i="59"/>
  <c r="F52" i="59" s="1"/>
  <c r="F70" i="59" s="1"/>
  <c r="D19" i="43"/>
  <c r="C19" i="43"/>
  <c r="B27" i="24"/>
  <c r="C60" i="24"/>
  <c r="H17" i="18"/>
  <c r="B9" i="34"/>
  <c r="C9" i="34"/>
  <c r="B45" i="45"/>
  <c r="B46" i="45" s="1"/>
  <c r="B8" i="36"/>
  <c r="B19" i="43"/>
  <c r="E7" i="43"/>
  <c r="B53" i="43"/>
  <c r="B54" i="43" s="1"/>
  <c r="D32" i="18"/>
  <c r="D42" i="18" s="1"/>
  <c r="H24" i="18"/>
  <c r="H16" i="18"/>
  <c r="C42" i="18"/>
  <c r="C13" i="12"/>
  <c r="D13" i="12"/>
  <c r="C34" i="6"/>
  <c r="B26" i="64"/>
  <c r="C26" i="64" s="1"/>
  <c r="D8" i="64"/>
  <c r="E8" i="64" s="1"/>
  <c r="C48" i="24"/>
  <c r="C27" i="24"/>
  <c r="C8" i="9"/>
  <c r="D9" i="64"/>
  <c r="E9" i="64" s="1"/>
  <c r="B16" i="64"/>
  <c r="C16" i="64" s="1"/>
  <c r="D92" i="59"/>
  <c r="G92" i="59"/>
  <c r="E92" i="59"/>
  <c r="D18" i="64"/>
  <c r="E18" i="64" s="1"/>
  <c r="E5" i="9"/>
  <c r="I5" i="9" s="1"/>
  <c r="K5" i="9" s="1"/>
  <c r="B18" i="64"/>
  <c r="B21" i="64" s="1"/>
  <c r="C21" i="64" s="1"/>
  <c r="D25" i="64"/>
  <c r="E25" i="64" s="1"/>
  <c r="E13" i="43"/>
  <c r="C92" i="59"/>
  <c r="H33" i="18"/>
  <c r="F32" i="18"/>
  <c r="C12" i="34"/>
  <c r="C14" i="34" s="1"/>
  <c r="C15" i="34" s="1"/>
  <c r="C16" i="34" s="1"/>
  <c r="D16" i="7"/>
  <c r="D21" i="7" s="1"/>
  <c r="D26" i="7" s="1"/>
  <c r="E38" i="43"/>
  <c r="H37" i="18"/>
  <c r="B92" i="59"/>
  <c r="D52" i="59" l="1"/>
  <c r="D70" i="59" s="1"/>
  <c r="G52" i="59"/>
  <c r="G70" i="59" s="1"/>
  <c r="C52" i="59"/>
  <c r="C70" i="59" s="1"/>
  <c r="B52" i="59"/>
  <c r="B70" i="59" s="1"/>
  <c r="E52" i="59"/>
  <c r="E70" i="59" s="1"/>
  <c r="B25" i="64"/>
  <c r="C25" i="64" s="1"/>
  <c r="D25" i="12"/>
  <c r="D26" i="12" s="1"/>
  <c r="C120" i="4"/>
  <c r="E19" i="43"/>
  <c r="E20" i="43" s="1"/>
  <c r="C15" i="18"/>
  <c r="G32" i="18"/>
  <c r="G42" i="18" s="1"/>
  <c r="F42" i="18"/>
  <c r="E8" i="9"/>
  <c r="E20" i="9" s="1"/>
  <c r="D21" i="64"/>
  <c r="E21" i="64" s="1"/>
  <c r="B12" i="34"/>
  <c r="B14" i="34" s="1"/>
  <c r="B15" i="34" s="1"/>
  <c r="B16" i="34" s="1"/>
  <c r="C20" i="9"/>
  <c r="C26" i="50"/>
  <c r="C33" i="50" s="1"/>
  <c r="C34" i="50" s="1"/>
  <c r="D34" i="50"/>
  <c r="D10" i="64"/>
  <c r="E10" i="64" s="1"/>
  <c r="C5" i="6"/>
  <c r="C18" i="6" s="1"/>
  <c r="B9" i="64"/>
  <c r="C9" i="64" s="1"/>
  <c r="D31" i="8"/>
  <c r="G8" i="9"/>
  <c r="G20" i="9" s="1"/>
  <c r="C18" i="64"/>
  <c r="D24" i="64"/>
  <c r="E24" i="64" s="1"/>
  <c r="D27" i="12"/>
  <c r="D15" i="18"/>
  <c r="D31" i="18" s="1"/>
  <c r="D116" i="4" l="1"/>
  <c r="D117" i="4"/>
  <c r="C31" i="18"/>
  <c r="C43" i="18" s="1"/>
  <c r="H32" i="18"/>
  <c r="H42" i="18"/>
  <c r="D119" i="4"/>
  <c r="D120" i="4"/>
  <c r="D118" i="4"/>
  <c r="C121" i="4"/>
  <c r="M36" i="4"/>
  <c r="D29" i="7"/>
  <c r="D31" i="7" s="1"/>
  <c r="E15" i="18"/>
  <c r="E31" i="18" s="1"/>
  <c r="E43" i="18" s="1"/>
  <c r="G15" i="18"/>
  <c r="G31" i="18" s="1"/>
  <c r="G43" i="18" s="1"/>
  <c r="H38" i="18"/>
  <c r="H26" i="18"/>
  <c r="C21" i="6"/>
  <c r="C52" i="6" s="1"/>
  <c r="C56" i="6" s="1"/>
  <c r="B10" i="64"/>
  <c r="C10" i="64" s="1"/>
  <c r="I8" i="9"/>
  <c r="I20" i="9" s="1"/>
  <c r="D6" i="14"/>
  <c r="D8" i="14" s="1"/>
  <c r="D13" i="14" s="1"/>
  <c r="F15" i="18"/>
  <c r="F31" i="18" s="1"/>
  <c r="F43" i="18" s="1"/>
  <c r="D43" i="18"/>
  <c r="D41" i="7" l="1"/>
  <c r="D40" i="7"/>
  <c r="D38" i="7"/>
  <c r="D37" i="7"/>
  <c r="H15" i="18"/>
  <c r="C6" i="14"/>
  <c r="C8" i="14" s="1"/>
  <c r="C13" i="14" s="1"/>
  <c r="K8" i="9"/>
  <c r="K20" i="9" s="1"/>
  <c r="D3" i="53"/>
  <c r="D17" i="53" s="1"/>
  <c r="D19" i="53" s="1"/>
  <c r="B11" i="64"/>
  <c r="D34" i="7"/>
  <c r="D11" i="64"/>
  <c r="B24" i="64"/>
  <c r="C24" i="64" s="1"/>
  <c r="H31" i="18"/>
  <c r="H43" i="18" s="1"/>
  <c r="M39" i="4" l="1"/>
  <c r="D13" i="64"/>
  <c r="E13" i="64" s="1"/>
  <c r="E11" i="64"/>
  <c r="C11" i="64"/>
  <c r="B13" i="64"/>
  <c r="C13" i="64" s="1"/>
</calcChain>
</file>

<file path=xl/comments1.xml><?xml version="1.0" encoding="utf-8"?>
<comments xmlns="http://schemas.openxmlformats.org/spreadsheetml/2006/main">
  <authors>
    <author>Sare_10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Sare_10:</t>
        </r>
        <r>
          <rPr>
            <sz val="9"/>
            <color indexed="81"/>
            <rFont val="Tahoma"/>
            <family val="2"/>
            <charset val="238"/>
          </rPr>
          <t xml:space="preserve">
Sprzedaż wyłączona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  <charset val="238"/>
          </rPr>
          <t>Sare_10:</t>
        </r>
        <r>
          <rPr>
            <sz val="9"/>
            <color indexed="81"/>
            <rFont val="Tahoma"/>
            <family val="2"/>
            <charset val="238"/>
          </rPr>
          <t xml:space="preserve">
Sprzedaż wyłączona
</t>
        </r>
      </text>
    </comment>
  </commentList>
</comments>
</file>

<file path=xl/comments2.xml><?xml version="1.0" encoding="utf-8"?>
<comments xmlns="http://schemas.openxmlformats.org/spreadsheetml/2006/main">
  <authors>
    <author>Sare_10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  <charset val="238"/>
          </rPr>
          <t>Sare_10:</t>
        </r>
        <r>
          <rPr>
            <sz val="9"/>
            <color indexed="81"/>
            <rFont val="Tahoma"/>
            <family val="2"/>
            <charset val="238"/>
          </rPr>
          <t xml:space="preserve">
wartość firmy</t>
        </r>
      </text>
    </comment>
  </commentList>
</comments>
</file>

<file path=xl/comments3.xml><?xml version="1.0" encoding="utf-8"?>
<comments xmlns="http://schemas.openxmlformats.org/spreadsheetml/2006/main">
  <authors>
    <author>Sare_53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Sare_53:</t>
        </r>
        <r>
          <rPr>
            <sz val="9"/>
            <color indexed="81"/>
            <rFont val="Tahoma"/>
            <family val="2"/>
            <charset val="238"/>
          </rPr>
          <t xml:space="preserve">
dodane</t>
        </r>
      </text>
    </comment>
  </commentList>
</comments>
</file>

<file path=xl/sharedStrings.xml><?xml version="1.0" encoding="utf-8"?>
<sst xmlns="http://schemas.openxmlformats.org/spreadsheetml/2006/main" count="1647" uniqueCount="998">
  <si>
    <t>Liczba pracowników przyjętych</t>
  </si>
  <si>
    <t>Liczba pracowników zwolnionych</t>
  </si>
  <si>
    <t>Przeciętne zatrudnienie:</t>
  </si>
  <si>
    <t>Kapitał zapasowy</t>
  </si>
  <si>
    <t>Rzeczowe aktywa trwałe - struktura własnościowa</t>
  </si>
  <si>
    <t>Okres</t>
  </si>
  <si>
    <t>Wartości niematerialne</t>
  </si>
  <si>
    <t>Podział zysku netto</t>
  </si>
  <si>
    <t>Działalność kontynuowana</t>
  </si>
  <si>
    <t>Krótkoterminowe świadczenia pracownicze (wynagrodzenia i narzuty)</t>
  </si>
  <si>
    <t>Nagrody jubileuszowe</t>
  </si>
  <si>
    <t>Świadczenia po okresie zatrudnienia</t>
  </si>
  <si>
    <t>Świadczenia z tytułu rozwiązania stosunku pracy</t>
  </si>
  <si>
    <t xml:space="preserve">Świadczenia pracownicze w formie akcji własnych </t>
  </si>
  <si>
    <t>PLN</t>
  </si>
  <si>
    <t>EUR</t>
  </si>
  <si>
    <t>USD</t>
  </si>
  <si>
    <t>Rezerwy na nagrody jubileuszowe</t>
  </si>
  <si>
    <t>Rezerwy na urlopy wypoczynkowe</t>
  </si>
  <si>
    <t>Rezerwy na pozostałe świadczenia</t>
  </si>
  <si>
    <t>Razem, w tym:</t>
  </si>
  <si>
    <t>Rezerwy na pozostałe świadczenia pracownicze</t>
  </si>
  <si>
    <t>Utworzenie rezerwy</t>
  </si>
  <si>
    <t>Świadczenia wypłacane Członkom Zarządu</t>
  </si>
  <si>
    <t xml:space="preserve"> Razem </t>
  </si>
  <si>
    <t>Rotacja zatrudnienia:</t>
  </si>
  <si>
    <t>Razem</t>
  </si>
  <si>
    <t>Zysk z tytułu przeszacowania nieruchomości inwestycyjnych do wartości godziwej</t>
  </si>
  <si>
    <t>Strata z tytułu przeszacowania nieruchomości inwestycyjnych do wartości godziwej</t>
  </si>
  <si>
    <t>Dodatnie różnice kursowe</t>
  </si>
  <si>
    <t>Ujemne różnice kursowe</t>
  </si>
  <si>
    <t>Amortyzacja</t>
  </si>
  <si>
    <t>Zużycie materiałów i energii</t>
  </si>
  <si>
    <t>Usługi obce</t>
  </si>
  <si>
    <t>Podatki i opłaty</t>
  </si>
  <si>
    <t>Pozostałe koszty rodzajowe</t>
  </si>
  <si>
    <t>Wartość sprzedanych towarów i materiałów</t>
  </si>
  <si>
    <t>Koszty według rodzajów ogółem, w tym:</t>
  </si>
  <si>
    <t>Pozycje ujęte w koszcie własnym sprzedaży</t>
  </si>
  <si>
    <t>Pozycje ujęte w kosztach sprzedaży</t>
  </si>
  <si>
    <t>Pozycje ujęte w kosztach ogólnego zarządu</t>
  </si>
  <si>
    <t>Zmiana stanu produktów</t>
  </si>
  <si>
    <t>Pozycje ujęte w koszcie własnym sprzedaży:</t>
  </si>
  <si>
    <t>Amortyzacja środków trwałych</t>
  </si>
  <si>
    <t>Utrata wartości rzeczowych środków trwałych</t>
  </si>
  <si>
    <t>Amortyzacja wartości niematerialnych</t>
  </si>
  <si>
    <t>Pozycje ujęte w kosztach ogólnego zarządu:</t>
  </si>
  <si>
    <t>Wynagrodzenia</t>
  </si>
  <si>
    <t>Koszty świadczeń emerytalnych</t>
  </si>
  <si>
    <t>Inne świadczenia po okresie zatrudnienia</t>
  </si>
  <si>
    <t>Bieżący podatek dochodowy</t>
  </si>
  <si>
    <t>Odroczony podatek dochodowy</t>
  </si>
  <si>
    <t>Związany z powstaniem i odwróceniem się różnic przejściowych</t>
  </si>
  <si>
    <t>Obciążenie podatkowe wykazane w skonsolidowanym rachunku zysków i strat</t>
  </si>
  <si>
    <t>Przyspieszona amortyzacja podatkowa</t>
  </si>
  <si>
    <t>Przeszacowanie aktywów finansowych dostępnych do sprzedaży do wartości godziwej</t>
  </si>
  <si>
    <t>Przeszacowanie kontraktów walutowych (zabezpieczenia przepływów pieniężnych) do wartości godziwej</t>
  </si>
  <si>
    <t>Straty możliwe do odliczenia od przyszłych dochodów do opodatkowania</t>
  </si>
  <si>
    <t>Rzeczowe aktywa trwałe</t>
  </si>
  <si>
    <t>Kredyty i pożyczki</t>
  </si>
  <si>
    <t xml:space="preserve">wartość netto sprzedanych wartości niematerialnych </t>
  </si>
  <si>
    <t>przychody ze sprzedaży rzeczowych aktywów trwałych</t>
  </si>
  <si>
    <t>wartość netto sprzedanych rzeczowych aktywów trwałych</t>
  </si>
  <si>
    <t>amortyzacja wartości niematerialnych</t>
  </si>
  <si>
    <t>amortyzacja rzeczowych aktywów trwałych</t>
  </si>
  <si>
    <t>amortyzacja nieruchomości inwestycyjnych</t>
  </si>
  <si>
    <t>przychody ze sprzedaży wartości niemataterialnych</t>
  </si>
  <si>
    <t>bilansowa zmiana stanu zapasów</t>
  </si>
  <si>
    <t>wartość zapasów przejęta w wyniku objęcia kontroli (stan zapasów jednostki zależnej na dzień objęcia kontroli ze znakiem "-")</t>
  </si>
  <si>
    <t>wartość zapasów wyłączona w wyniku utraty kontroli (stan zapasów jednostki zależnej na dzień utraty kontroli ze znakiem "+")</t>
  </si>
  <si>
    <t>bilansowa zmiana stanu rezerw na świadczenia pracownicze</t>
  </si>
  <si>
    <t>wartość rezerw przejęta w wyniku objęcia kontroli (stan rezerw jednostki zależnej na dzień objęcia kontroli ze znakiem "-")</t>
  </si>
  <si>
    <t>wartość rezerw wyłączona w wyniku utraty kontroli (stan rezerw jednostki zależnej na dzień utraty kontroli ze znakiem "+")</t>
  </si>
  <si>
    <t>stan należności przejęty w wyniku objęcia kontroli (stan należności jednostki zależnej na dzień objęcia kontroli ze znakiem "-")</t>
  </si>
  <si>
    <t>stan należności wyłączony w wyniku utraty kontroli (stan należności jednostki zależnej na dzień utraty kontroli ze znakiem "+")</t>
  </si>
  <si>
    <t>Minus środki pieniężne i ich ekwiwalenty</t>
  </si>
  <si>
    <t>Zadłużenie netto</t>
  </si>
  <si>
    <t>Kapitał własny</t>
  </si>
  <si>
    <t>Kapitały rezerwowe z tytułu niezrealizowanych zysków netto</t>
  </si>
  <si>
    <t>Kapitał razem</t>
  </si>
  <si>
    <t>Kapitał i zadłużenie netto</t>
  </si>
  <si>
    <t>Wskaźnik dźwigni</t>
  </si>
  <si>
    <t>Administracja</t>
  </si>
  <si>
    <t>Dział sprzedaży</t>
  </si>
  <si>
    <t>Pozostali</t>
  </si>
  <si>
    <t>Akcjonariusz</t>
  </si>
  <si>
    <t>Rodzaj
uprzywilejo-
wania akcji</t>
  </si>
  <si>
    <t>Rodzaj
ograniczenia
praw do akcji</t>
  </si>
  <si>
    <t>Wartość
serii / emisji
wg wartości
nominalnej</t>
  </si>
  <si>
    <t xml:space="preserve">Sposób
pokrycia
kapitału </t>
  </si>
  <si>
    <t>% kapitału akcyjnego</t>
  </si>
  <si>
    <t xml:space="preserve">Liczba głosów </t>
  </si>
  <si>
    <t>% głosów</t>
  </si>
  <si>
    <t>Pożyczki</t>
  </si>
  <si>
    <t>- długoterminowe</t>
  </si>
  <si>
    <t>- krótkoterminowe</t>
  </si>
  <si>
    <t>x</t>
  </si>
  <si>
    <t>Kredyty i pożyczki krótkoterminowe</t>
  </si>
  <si>
    <t>Kredyty i pożyczki długoterminowe</t>
  </si>
  <si>
    <t>- płatne powyżej 5 lat</t>
  </si>
  <si>
    <t>Kredyty i pożyczki razem</t>
  </si>
  <si>
    <t>Struktura zapadalności kredytów:</t>
  </si>
  <si>
    <t>- płatne powyżej 1 roku do 3 lat</t>
  </si>
  <si>
    <t>- płatne powyżej 3 lat do 5 lat</t>
  </si>
  <si>
    <t>wartość
w walucie</t>
  </si>
  <si>
    <t>wartość 
w PLN</t>
  </si>
  <si>
    <t>Kredyty i pożyczki struktura walutowa:</t>
  </si>
  <si>
    <t>Zabezpieczenia</t>
  </si>
  <si>
    <t>Zmiana stanu rezerw wynika z następujących pozycji:</t>
  </si>
  <si>
    <t>Zmiana stanu zapasów wynika z następujących pozycji:</t>
  </si>
  <si>
    <t>Należności handlowe brutto</t>
  </si>
  <si>
    <t>- od jednostek powiazanych</t>
  </si>
  <si>
    <t>- od pozostałych jednostek</t>
  </si>
  <si>
    <t>Pozostałe należności brutto</t>
  </si>
  <si>
    <t>Zmniejszenia w tym:</t>
  </si>
  <si>
    <t>Zmniejszenia, z tytułu:</t>
  </si>
  <si>
    <t>Zwiększenia, z tytułu:</t>
  </si>
  <si>
    <t>Wartość bilansowa brutto na początek okresu</t>
  </si>
  <si>
    <t>Wartość bilansowa brutto na koniec okresu</t>
  </si>
  <si>
    <t>Odpisy aktualizujące z tytułu utraty wartości na początek okresu</t>
  </si>
  <si>
    <t>Odpisy aktualizujące z tytułu utraty wartości na koniec okresu</t>
  </si>
  <si>
    <t>Zwiększenia, w tym:</t>
  </si>
  <si>
    <t>Koszt wytworzenia sprzedanych produktów i usług</t>
  </si>
  <si>
    <t>Aktywa trwałe, inne niż instrumenty finansowe</t>
  </si>
  <si>
    <t>Przychody ze sprzedaży usług</t>
  </si>
  <si>
    <t>Przychody ze sprzedaży produktów</t>
  </si>
  <si>
    <t>Przychody ze sprzedaży towarów i materiałów</t>
  </si>
  <si>
    <t>Zysk (strata) netto na jedną akcję (w zł)</t>
  </si>
  <si>
    <t xml:space="preserve">Wartoście niematerialne </t>
  </si>
  <si>
    <t>Aktywa finansowe dostepne do sprzedaży</t>
  </si>
  <si>
    <t>Pozostałe aktywa finansowe</t>
  </si>
  <si>
    <t>Pozostałe aktywa trwałe</t>
  </si>
  <si>
    <t xml:space="preserve">Pozostałe należności </t>
  </si>
  <si>
    <t>Akcje własne</t>
  </si>
  <si>
    <t>Niepodzielony wynik finansowy</t>
  </si>
  <si>
    <t>Wynik finansowy bieżącego okresu</t>
  </si>
  <si>
    <r>
      <t xml:space="preserve">Świadczenia </t>
    </r>
    <r>
      <rPr>
        <b/>
        <sz val="8"/>
        <rFont val="Arial"/>
        <family val="2"/>
        <charset val="238"/>
      </rPr>
      <t>wypłacone lub należne pozostałym członkom głównej kadry kierowniczej</t>
    </r>
  </si>
  <si>
    <t>Środki pieniężne kasie i na rachunkach bankowych:</t>
  </si>
  <si>
    <t>Lokaty overnight</t>
  </si>
  <si>
    <t>Lokaty krótkoterminowe o terminie realizacji do 3 m-cy</t>
  </si>
  <si>
    <t>Środki pieniężne w drodze</t>
  </si>
  <si>
    <t>Inne środki pieniężne:</t>
  </si>
  <si>
    <t>Inne aktywa pieniężne:</t>
  </si>
  <si>
    <t>Dotacje</t>
  </si>
  <si>
    <t>Nieruchomości inwestycyjne</t>
  </si>
  <si>
    <t>Zbycie aktywów finansowych</t>
  </si>
  <si>
    <t>Rozliczenia międzyokresowe przychodów, w tym:</t>
  </si>
  <si>
    <t xml:space="preserve">Skonsolidowany rachunek przepływów pieniężnych </t>
  </si>
  <si>
    <t>SKONSOLIDOWANY RACHUNEK ZYSKÓW I STRAT</t>
  </si>
  <si>
    <t>Zestawienie zmian w skosolidowanym kapitale własnym</t>
  </si>
  <si>
    <t>Przychody netto ze sprzedażyproduktów, towarów i materiałów</t>
  </si>
  <si>
    <t>Koszt własny sprzedaży</t>
  </si>
  <si>
    <t>Zysk (strata) brutto</t>
  </si>
  <si>
    <t>Zysk (strata) netto</t>
  </si>
  <si>
    <t>Liczba udziałów/akcji w sztukach</t>
  </si>
  <si>
    <t>Wartość księgowa na akcję (zł/euro)</t>
  </si>
  <si>
    <t>Zysk (strata) netto na akcję zwykłą (zł/euro)</t>
  </si>
  <si>
    <t>Wartość księgowa na akcję</t>
  </si>
  <si>
    <t>Zysk (strata) netto na jedną akcję z działalności kontynuowanej (w zł)</t>
  </si>
  <si>
    <t>Zysk (strata) netto podmiotu dominującego</t>
  </si>
  <si>
    <t>Podstawowy za okres obrotowy</t>
  </si>
  <si>
    <t>Rozwodniony za okres obrotowy</t>
  </si>
  <si>
    <r>
      <t>Zobowi</t>
    </r>
    <r>
      <rPr>
        <sz val="8"/>
        <rFont val="Arial"/>
        <family val="2"/>
        <charset val="238"/>
      </rPr>
      <t>ą</t>
    </r>
    <r>
      <rPr>
        <b/>
        <sz val="8"/>
        <rFont val="Arial"/>
        <family val="2"/>
        <charset val="238"/>
      </rPr>
      <t xml:space="preserve">zania finansowe wyceniane w wartości godziwej przez wynik finansowy </t>
    </r>
  </si>
  <si>
    <r>
      <t>Po</t>
    </r>
    <r>
      <rPr>
        <sz val="8"/>
        <rFont val="Arial"/>
        <family val="2"/>
        <charset val="238"/>
      </rPr>
      <t>ż</t>
    </r>
    <r>
      <rPr>
        <b/>
        <sz val="8"/>
        <rFont val="Arial"/>
        <family val="2"/>
        <charset val="238"/>
      </rPr>
      <t>yczki udzielone i należności własne</t>
    </r>
  </si>
  <si>
    <t>Pozostałe zobowiązania finansowe</t>
  </si>
  <si>
    <t>Aktywa finansowe utrzymywane do terminu wymagalności</t>
  </si>
  <si>
    <t>Rezerwy z tytułu odroczonego podatku dochodowego</t>
  </si>
  <si>
    <t>Emisja akcji</t>
  </si>
  <si>
    <t>Wypłata dywidendy</t>
  </si>
  <si>
    <t>Zysk / Strata przed opodatkowaniem</t>
  </si>
  <si>
    <t>Zmiana stanu zobowiązań, z wyjątkiem pożyczek i kredytów</t>
  </si>
  <si>
    <t>Zmiana stanu pozostałych aktywów</t>
  </si>
  <si>
    <t>Zbycie wartości niematerialnych oraz rzeczowych aktywów trwałych</t>
  </si>
  <si>
    <t>Zbycie inwestycji w nieruchomości</t>
  </si>
  <si>
    <t>Inne wpływy inwestycyjne</t>
  </si>
  <si>
    <t>Nabycie wartości niematerialnych oraz rzeczowych akywów trwałych</t>
  </si>
  <si>
    <t>Nabycie inwestycji w nieruchomości</t>
  </si>
  <si>
    <t>Wydatki na aktywa finansowe</t>
  </si>
  <si>
    <t>Dywidendy i inne wpłaty na rzecz właścicieli</t>
  </si>
  <si>
    <t xml:space="preserve">Inne, niż wpłaty na rzecz właścicieli, wydatki z tytułu podziału zysku </t>
  </si>
  <si>
    <t>Sprzedaż towarów i materiałów</t>
  </si>
  <si>
    <t xml:space="preserve">Sprzedaż produktów </t>
  </si>
  <si>
    <t>Sprzedaż usług</t>
  </si>
  <si>
    <t>SUMA przychodów ze sprzedaży</t>
  </si>
  <si>
    <t xml:space="preserve">Zwiększenia </t>
  </si>
  <si>
    <t>Jednostka dominujaca</t>
  </si>
  <si>
    <t>Podmiot powiązany</t>
  </si>
  <si>
    <t>Sprzedaż na rzecz podmiotów powiązanych</t>
  </si>
  <si>
    <t>Zakupy od podmiotów powiązanych</t>
  </si>
  <si>
    <t>Należności od podmiotów powiązanych</t>
  </si>
  <si>
    <t>Wartości niematerialne - struktura własnościowa</t>
  </si>
  <si>
    <t>Wartość firmy (netto)</t>
  </si>
  <si>
    <t>Stan na początek okresu</t>
  </si>
  <si>
    <t>Zwiększenia w okresie sprawozdawczym, z tytułu:</t>
  </si>
  <si>
    <t>- połączenia jednostek gospodarczych</t>
  </si>
  <si>
    <t>Zmniejszenia w okresie sprawozdawczym, z tytułu:</t>
  </si>
  <si>
    <t>Stan na koniec okresu</t>
  </si>
  <si>
    <t>Nazwa spółki, forma prawna, miejscowość, w której mieści się siedziba zarządu</t>
  </si>
  <si>
    <t>- nabycia środków trwałych</t>
  </si>
  <si>
    <t>- wytworzenia we własnym zakresie środków trwałych</t>
  </si>
  <si>
    <t>- zawartych umów leasingu</t>
  </si>
  <si>
    <t>- przeszacowania</t>
  </si>
  <si>
    <t>- zbycia</t>
  </si>
  <si>
    <t>- likwidacji</t>
  </si>
  <si>
    <t xml:space="preserve">- sprzedaży spółki zależnej </t>
  </si>
  <si>
    <t>-  wniesienia aportu</t>
  </si>
  <si>
    <t>- amortyzacji</t>
  </si>
  <si>
    <t>- sprzedaży</t>
  </si>
  <si>
    <t>Różnice kursowe netto z przeliczenia sprawozdania finansowego na walutę prezentacji</t>
  </si>
  <si>
    <r>
      <t>Koszty prac rozwojowych</t>
    </r>
    <r>
      <rPr>
        <b/>
        <vertAlign val="superscript"/>
        <sz val="8"/>
        <color indexed="8"/>
        <rFont val="Arial"/>
        <family val="2"/>
        <charset val="238"/>
      </rPr>
      <t>1</t>
    </r>
  </si>
  <si>
    <r>
      <t>Znaki towarowe</t>
    </r>
    <r>
      <rPr>
        <b/>
        <vertAlign val="superscript"/>
        <sz val="8"/>
        <rFont val="Arial"/>
        <family val="2"/>
        <charset val="238"/>
      </rPr>
      <t>2</t>
    </r>
  </si>
  <si>
    <r>
      <t>Patenty i licencje</t>
    </r>
    <r>
      <rPr>
        <b/>
        <vertAlign val="superscript"/>
        <sz val="8"/>
        <color indexed="8"/>
        <rFont val="Arial"/>
        <family val="2"/>
        <charset val="238"/>
      </rPr>
      <t>2</t>
    </r>
  </si>
  <si>
    <r>
      <t>Inne</t>
    </r>
    <r>
      <rPr>
        <b/>
        <vertAlign val="superscript"/>
        <sz val="8"/>
        <color indexed="8"/>
        <rFont val="Arial"/>
        <family val="2"/>
        <charset val="238"/>
      </rPr>
      <t>2</t>
    </r>
  </si>
  <si>
    <t>Zminay stanu wartości firmy z konsolidacji</t>
  </si>
  <si>
    <t>Zmniejszenia stanu z tytułu spadku udziału wskutek rozwodnienia</t>
  </si>
  <si>
    <t>Wartość udziałów wg ceny nabycia</t>
  </si>
  <si>
    <t>Przyrost/spadek udziału w zyskach/stratach za ubiegłe lata</t>
  </si>
  <si>
    <t>Przyrost/spadek udziału w zyskach/stratach za bieżący rok</t>
  </si>
  <si>
    <t xml:space="preserve"> </t>
  </si>
  <si>
    <t>Akcje/ Udziały w spółkach nienotowanych na giełdzie (nie objęte konsolidacją)</t>
  </si>
  <si>
    <t>Akcje spółek notowanych na giełdzie (nie objęte konsolidacją)</t>
  </si>
  <si>
    <t>Inwestycje długoterminowe</t>
  </si>
  <si>
    <t>Powody nie objęcia konsolidacją</t>
  </si>
  <si>
    <t>- z tytułu podatków, z wyjątkiem podatku dochodowego od osób prawnych</t>
  </si>
  <si>
    <t>Inwestycje krótkoterminowe</t>
  </si>
  <si>
    <t>Czynne rozliczenia międzyokresowe kosztów</t>
  </si>
  <si>
    <t>Akcje własne (-)</t>
  </si>
  <si>
    <t>Na początek okresu</t>
  </si>
  <si>
    <t>Dywidendy wypłacone przez jednostki zależne</t>
  </si>
  <si>
    <t>Nabycie spółki</t>
  </si>
  <si>
    <t>Zmiany w strukturze udziałowców w jednostkach zależnych</t>
  </si>
  <si>
    <t>Udział w wyniku jednostek zależnych</t>
  </si>
  <si>
    <t>Na koniec okresu</t>
  </si>
  <si>
    <t>Zobowiązania z tytułu pozostałych podatków, ceł, ubezpieczeń społecznych i innych, z wyjątkiem podatku dochodowego od osób prawnych</t>
  </si>
  <si>
    <t>Zmniejszenie stanu z tytułu korekt wynikających z późniejszego ujęcia</t>
  </si>
  <si>
    <t>Odpisy aktualizujące</t>
  </si>
  <si>
    <t>- wykorzystanie odpisów aktualizujących</t>
  </si>
  <si>
    <t>- rozwiązanie odpisów aktualizujących w związku ze spłatą należności</t>
  </si>
  <si>
    <t>- zakończenie postępowań</t>
  </si>
  <si>
    <t>- dokonanie odpisów na należności przeterminowane i sporne</t>
  </si>
  <si>
    <t>- dowiązanie odpisów w związku z umorzeniem układu</t>
  </si>
  <si>
    <t>Zmiany stanu odpisów aktualizujących wartość należności handlowych</t>
  </si>
  <si>
    <t>Pozostałe należności, w tym:</t>
  </si>
  <si>
    <t>- z tytułu ceł</t>
  </si>
  <si>
    <t>- z tytułu ubezpieczeń</t>
  </si>
  <si>
    <t>- zaliczki na dostawy</t>
  </si>
  <si>
    <t>Pozostałe rozliczenia międzyokresowe</t>
  </si>
  <si>
    <t>Kapitał zakładowy struktura cd:</t>
  </si>
  <si>
    <t>Zmiany kapitału zakładowego:</t>
  </si>
  <si>
    <t>Kapitał zakładowy na początek okresu</t>
  </si>
  <si>
    <t>Kapitał zakładowy na koniec okresu</t>
  </si>
  <si>
    <t>Zwiekszenia, z tytułu:</t>
  </si>
  <si>
    <t>Kwoty zawarte w pozycji niepodzielony wynik niepodlegające wypłacie w formie dywidendy:</t>
  </si>
  <si>
    <t xml:space="preserve">Razem pozostałe zobowiązania </t>
  </si>
  <si>
    <t xml:space="preserve">Zysk (strata) netto </t>
  </si>
  <si>
    <t>Polska</t>
  </si>
  <si>
    <t>Przychody ze sprzedaży - szczegółowa struktura geograficzna</t>
  </si>
  <si>
    <t>w %</t>
  </si>
  <si>
    <t>Kraj</t>
  </si>
  <si>
    <t>Eksport, w tym:</t>
  </si>
  <si>
    <t xml:space="preserve">Unia Europejska </t>
  </si>
  <si>
    <t>w tys. PLN</t>
  </si>
  <si>
    <t xml:space="preserve">Wynagrodzenia </t>
  </si>
  <si>
    <t>Ubezpieczenia społeczne i inne świadczenia</t>
  </si>
  <si>
    <t>Koszt wytworzenia produktów na własne potrzeby jednostki (wielkość ujemna)</t>
  </si>
  <si>
    <t>Koszty sprzedaży (wielkość ujemna)</t>
  </si>
  <si>
    <t>Koszty ogólnego zarządu (wielkość ujemna)</t>
  </si>
  <si>
    <t>Opcje na akcje przyznane członkom Zarządu i kadry kierowniczej</t>
  </si>
  <si>
    <t>Inwestycje w jednostkach powiązanych wycenianych metodą praw własności</t>
  </si>
  <si>
    <t>Inne zobowiązania długoterminowe</t>
  </si>
  <si>
    <t>SUMA przychodów ogółem z działalności kontynuowanej</t>
  </si>
  <si>
    <t>Przychody z działalnosci zaniechanej</t>
  </si>
  <si>
    <t xml:space="preserve">SUMA przychodów ogółem </t>
  </si>
  <si>
    <t>Zysk ze zbycia majątku trwałego</t>
  </si>
  <si>
    <t>Zysk ze sprzedaży nieruchomości inwestycyjnych</t>
  </si>
  <si>
    <t>Strata ze zbycia majątku trwałego</t>
  </si>
  <si>
    <t>Strata ze sprzedaży nieruchomości inwestycyjnych</t>
  </si>
  <si>
    <t>Dotyczący roku obrotowego</t>
  </si>
  <si>
    <t>Korekty dotyczące lat ubiegłych</t>
  </si>
  <si>
    <t>zwiększenia</t>
  </si>
  <si>
    <t>zmniejszenia</t>
  </si>
  <si>
    <t>Suma ujemnych różnic przejściowych</t>
  </si>
  <si>
    <t>stawka podatkowa</t>
  </si>
  <si>
    <t>Aktywa z tytułu odroczonego podatku</t>
  </si>
  <si>
    <t>Suma dodatnich różnic przejściowych</t>
  </si>
  <si>
    <t>Rezerwa z tytułu podatku odroczonego na koniec okresu:</t>
  </si>
  <si>
    <t>Wartości niematerialne w budowie</t>
  </si>
  <si>
    <t>jednostki stowarzyszone:</t>
  </si>
  <si>
    <t>nazwa</t>
  </si>
  <si>
    <t xml:space="preserve"> Należności leasingowe długoterminowe</t>
  </si>
  <si>
    <t xml:space="preserve"> Należności długoterminowe pozostałe</t>
  </si>
  <si>
    <t xml:space="preserve"> Należności leasingowe krótkoterminowe</t>
  </si>
  <si>
    <t>obligacje</t>
  </si>
  <si>
    <t>91-180</t>
  </si>
  <si>
    <t>Jednostki powiązane</t>
  </si>
  <si>
    <t>Stan odpisów aktualizujących wartość należności handlowych od jednostek powiązanych na koniec okresu</t>
  </si>
  <si>
    <t>Jednostki pozostałe</t>
  </si>
  <si>
    <t>Stan odpisów aktualizujących wartość należności handlowych od jednostek pozostałych na koniec okresu</t>
  </si>
  <si>
    <t>Stan odpisów aktualizujących wartość należności handlowych ogółem na koniec okresu</t>
  </si>
  <si>
    <t>- z tytułu zbycia aktywów trwałych</t>
  </si>
  <si>
    <t>od jednostek powiązanych</t>
  </si>
  <si>
    <t>od pozostałych jednostek</t>
  </si>
  <si>
    <t xml:space="preserve"> - od Zarządu i Rady Nadzorczej</t>
  </si>
  <si>
    <t>zobowiązania leasingowe</t>
  </si>
  <si>
    <t>zobowiązania wyceniane w wartości godziwej przez wynik finansowy</t>
  </si>
  <si>
    <t xml:space="preserve">Razem zobowiązania finansowe </t>
  </si>
  <si>
    <t>Jednostki zależne:</t>
  </si>
  <si>
    <t xml:space="preserve"> KOSZTY ŚWIADCZEŃ PRACOWNICZYCH</t>
  </si>
  <si>
    <r>
      <t>Rozwiązanie rezerw</t>
    </r>
    <r>
      <rPr>
        <sz val="8"/>
        <color indexed="10"/>
        <rFont val="Arial"/>
        <family val="2"/>
        <charset val="238"/>
      </rPr>
      <t>*</t>
    </r>
  </si>
  <si>
    <r>
      <t>Rozwiązanie odpisów aktualizujących wartość składników aktywów</t>
    </r>
    <r>
      <rPr>
        <sz val="8"/>
        <color indexed="10"/>
        <rFont val="Arial"/>
        <family val="2"/>
        <charset val="238"/>
      </rPr>
      <t>**</t>
    </r>
  </si>
  <si>
    <t>Uzyskane kary, grzywny i odszkodowania</t>
  </si>
  <si>
    <t>Dotacje rządowe</t>
  </si>
  <si>
    <t>Darowizny</t>
  </si>
  <si>
    <t>Niezawinione niedobory składników majątku obrotowego</t>
  </si>
  <si>
    <t xml:space="preserve">Pozostałe przychody operacyjne </t>
  </si>
  <si>
    <t xml:space="preserve">Pozostałe koszty operacyjne </t>
  </si>
  <si>
    <t>Utworzenie odpisów aktualizujących wartość</t>
  </si>
  <si>
    <t>Zysk ze zbycia akcji, udziałów i innych papierów wartościowych</t>
  </si>
  <si>
    <t>Zysk netto ze zbycia aktywów i zobowiązań finansowych wycenionych w wartości godziwej przez wynik finansowy</t>
  </si>
  <si>
    <t>Zysk netto ze zbycia aktywów finansowych dostępnych do sprzedaży</t>
  </si>
  <si>
    <t>Dywidendy otrzymane</t>
  </si>
  <si>
    <t xml:space="preserve">Rozwiązanie odpisów aktualizujących </t>
  </si>
  <si>
    <t>Nadwyżka dodatnich różnic kursowych</t>
  </si>
  <si>
    <t>Wycena instrumentów pochodnych</t>
  </si>
  <si>
    <t>Inne –przekwalifikowania</t>
  </si>
  <si>
    <t xml:space="preserve">Spłata pożyczek udzialonych </t>
  </si>
  <si>
    <t xml:space="preserve">Spłata kredytów i pożyczek </t>
  </si>
  <si>
    <t>Koszty z tytułu odsetek</t>
  </si>
  <si>
    <t>Nadwyżka ujemnych różnic kursowych</t>
  </si>
  <si>
    <t>Straty netto ze zbycia aktywów i zobowiązań finansowych wycenionych w wartości godziwej przez wynik finansowy</t>
  </si>
  <si>
    <t>Straty netto ze zbycia aktywów finansowych dostępnych do sprzedaży</t>
  </si>
  <si>
    <t>Odpisy aktualizujące wartość odsetek</t>
  </si>
  <si>
    <t>Aktualizacja wartość inwestycji</t>
  </si>
  <si>
    <t>Zysk przed opodatkowaniem</t>
  </si>
  <si>
    <t>Przychody wyłączone z opodatkowania</t>
  </si>
  <si>
    <t>Koszty lat ubiegłych zmniejszające podstawę opodatkowania</t>
  </si>
  <si>
    <t>Koszty niebędące kosztami uzyskania przychodów</t>
  </si>
  <si>
    <t>Przychody lat ubiegłych zwiększające podstawę do opodatkowania</t>
  </si>
  <si>
    <t>Dochód do opodatkowania</t>
  </si>
  <si>
    <t>Odliczenia od dochodu - darowizna, strata</t>
  </si>
  <si>
    <t>Podstawa opodatkowania</t>
  </si>
  <si>
    <t>Podatek dochodowy przy zastosowaniu stawki 19%</t>
  </si>
  <si>
    <t>G. Środki pieniężne na koniec okresu</t>
  </si>
  <si>
    <t xml:space="preserve">Środki pieniężne w banku i w kasie przypisane działalności zaniechanej </t>
  </si>
  <si>
    <t>Data rejestracji</t>
  </si>
  <si>
    <t>hiperinflacja</t>
  </si>
  <si>
    <t>tytuł</t>
  </si>
  <si>
    <t>Wartość jednostkowa</t>
  </si>
  <si>
    <t>Seria/emisja rodzaj akcji</t>
  </si>
  <si>
    <t>Kapitał z aktualizacji wyceny</t>
  </si>
  <si>
    <t>Pozostały kapitał rezerwowy</t>
  </si>
  <si>
    <t>Kapitał rezerwowy</t>
  </si>
  <si>
    <t>Wycena aktywów finansowych dostępnych do sprzedaży</t>
  </si>
  <si>
    <t>Podatek odroczony z tyt. powyższej korekty</t>
  </si>
  <si>
    <t>Wynik z tytułu zabezpieczeń przepływów pieniężnych</t>
  </si>
  <si>
    <t>Podział/ pokrycie zysku/straty netto</t>
  </si>
  <si>
    <t>Element kapitałowy programu motywacyjnego dla pracowników</t>
  </si>
  <si>
    <t xml:space="preserve">Zwiększenia w okresie </t>
  </si>
  <si>
    <t xml:space="preserve">Zmniejszenia w okresie </t>
  </si>
  <si>
    <t>Zmiana stanu pozostałych kapitałów</t>
  </si>
  <si>
    <t>Kredyty rachunku bieżącym</t>
  </si>
  <si>
    <t>Kredyty bankowe</t>
  </si>
  <si>
    <t>Suma kredytów i pożyczek, w tym</t>
  </si>
  <si>
    <t>Nazwa banku /pożyczkodawcy i rodzaj kredytu/pożyczki</t>
  </si>
  <si>
    <t>Kwota kredytu/pożyczki wg umowy [tys. PLN]</t>
  </si>
  <si>
    <t>Kwota pozostała do spłaty [tys. PLN]</t>
  </si>
  <si>
    <t>Efektywna stopa procentowa %</t>
  </si>
  <si>
    <t>Rezerwy na odprawy emerytalne i rentowe</t>
  </si>
  <si>
    <t>Zysk (strata) netto na jedną akcję z działalności zaniechanej (w zł)</t>
  </si>
  <si>
    <t>Przychody ze sprzedaży</t>
  </si>
  <si>
    <t>Aktywa zaklasyfikowane jako przeznaczone do sprzedaży</t>
  </si>
  <si>
    <t>AKTYWA</t>
  </si>
  <si>
    <t>Zobowiązania bezpośrednio związane z aktywami klasyfikowanymi jako przeznaczone do sprzedaży</t>
  </si>
  <si>
    <t>A. Przepływy pieniężne netto z działalności operacyjnej</t>
  </si>
  <si>
    <t>B. Przepływy pieniężne netto z działalności inwestycyjnej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</si>
  <si>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</si>
  <si>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</si>
  <si>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</si>
  <si>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</si>
  <si>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Związany z obniżeniem stawek podatku dochodowego</t>
  </si>
  <si>
    <t>Rezerwa na nagrody jubileuszowe i odprawy emerytalne</t>
  </si>
  <si>
    <t>Rezerwa na pozostałe świadczenia pracownicze</t>
  </si>
  <si>
    <t>Rezerwa na niewykorzystane urlopy</t>
  </si>
  <si>
    <t>Rezerwy na rekultywację</t>
  </si>
  <si>
    <t>Rezerwy na ochronę środowiska</t>
  </si>
  <si>
    <t>Pozostałe rezerwy</t>
  </si>
  <si>
    <t>Odpisy aktualizujące udziały w innych jednostkach</t>
  </si>
  <si>
    <t>Odpisy aktualizujące zapasy</t>
  </si>
  <si>
    <t>NOTA</t>
  </si>
  <si>
    <t>Podatek dochodowy związany z elementami pozostałych całkowitych dochodów</t>
  </si>
  <si>
    <t xml:space="preserve">Suma dochodów całkowitych </t>
  </si>
  <si>
    <t>Suma dochodów całkowitych przypadająca na podmiot dominujący</t>
  </si>
  <si>
    <t>Akcje i udziały w jednostkach podporządkowanych nie objętych konsolidacją</t>
  </si>
  <si>
    <t>Akcje własne (wielkosć ujemna)</t>
  </si>
  <si>
    <t>Suma dochodów całkowitych</t>
  </si>
  <si>
    <t>Sprzedaż klientom zewnętrznym</t>
  </si>
  <si>
    <t>Aktywa z tytułu podatku odroczonego</t>
  </si>
  <si>
    <t>Aktywa z tytułu świadczeń pracowniczych po okresie zatrudnienia</t>
  </si>
  <si>
    <t>Prawa wynikające z umów ubezpieczeniowych</t>
  </si>
  <si>
    <t>Łącznie pozostałe kraje</t>
  </si>
  <si>
    <t xml:space="preserve">Udzielone pożyczki, w tym dla Zarządu </t>
  </si>
  <si>
    <t>Wynagrodzenie wypłacone lub należne za rok obrotowy</t>
  </si>
  <si>
    <t>- za badanie rocznego sprawozdania finansowego i skonsolidowanego sprawozdania finansowego</t>
  </si>
  <si>
    <t>Wynagrodzenia i ubezpieczenia społeczne płatne w następnych okresach</t>
  </si>
  <si>
    <t>Zwiększenie stanu z tytułu przejęcia jednostki</t>
  </si>
  <si>
    <t>Zwiększenia stanu z tytułu korekt wynikających z późniejszego ujęcia</t>
  </si>
  <si>
    <t>Inne zmiany wartości bilansowej</t>
  </si>
  <si>
    <t>Odpisy aktualizujące z tytułu utraty wartości ujęte w trakcie okresu</t>
  </si>
  <si>
    <t>Wartość firmy:</t>
  </si>
  <si>
    <t>Oprocentowane kredyty i pożyczki</t>
  </si>
  <si>
    <t>Zamienne akcje uprzywilejowane</t>
  </si>
  <si>
    <t>Zobowiązania z tytułu dostaw i usług oraz pozostałe zobowiązania</t>
  </si>
  <si>
    <t>Wartość bilansowa</t>
  </si>
  <si>
    <t>Zobowiązania krótkoterminowe</t>
  </si>
  <si>
    <t>Zobowiązania długoterminowe</t>
  </si>
  <si>
    <t>Przychody finansowe</t>
  </si>
  <si>
    <t>Wyszczególnienie</t>
  </si>
  <si>
    <t>Sprzedaż licencji</t>
  </si>
  <si>
    <r>
      <t xml:space="preserve">Przeszacowanie kontraktu na zamianę stóp procentowych </t>
    </r>
    <r>
      <rPr>
        <i/>
        <sz val="8"/>
        <color indexed="8"/>
        <rFont val="Arial"/>
        <family val="2"/>
        <charset val="238"/>
      </rPr>
      <t>swap</t>
    </r>
    <r>
      <rPr>
        <sz val="8"/>
        <color indexed="8"/>
        <rFont val="Arial"/>
        <family val="2"/>
        <charset val="238"/>
      </rPr>
      <t xml:space="preserve"> (zabezpieczenie wartości godziwej) do wartości godziwej</t>
    </r>
  </si>
  <si>
    <t>Pozostałe zmiany</t>
  </si>
  <si>
    <t>Grunty</t>
  </si>
  <si>
    <t>Budynki i   budowle</t>
  </si>
  <si>
    <t>Maszyny
i urządzenia</t>
  </si>
  <si>
    <t>nota</t>
  </si>
  <si>
    <t>Aktywa finansowe dostępne do sprzedaży</t>
  </si>
  <si>
    <t>Rozliczenia międzyokresowe</t>
  </si>
  <si>
    <t>Aktywa z tytułu odroczonego podatku dochodowego</t>
  </si>
  <si>
    <t>Należności handlowe</t>
  </si>
  <si>
    <t>Aktywa finansowe wyceniane w wartości godziwej przez wynik finansowy</t>
  </si>
  <si>
    <t>Środki pieniężne i ich ekwiwalenty</t>
  </si>
  <si>
    <t>AKTYWA  RAZEM</t>
  </si>
  <si>
    <t>w tę kolumnę należy wpisać dane według wzoru</t>
  </si>
  <si>
    <t>wzór</t>
  </si>
  <si>
    <t>Nazwa jednostki:</t>
  </si>
  <si>
    <t>ABC S.A.</t>
  </si>
  <si>
    <t>Adres siedziby:</t>
  </si>
  <si>
    <t>Początek roku:</t>
  </si>
  <si>
    <t>Koniec roku:</t>
  </si>
  <si>
    <t>Kapitał zakładowy</t>
  </si>
  <si>
    <t>Pozostałe kapitały</t>
  </si>
  <si>
    <t>Rezerwa na świadczenia emerytalne i podobne</t>
  </si>
  <si>
    <t>Zobowiązania handlowe</t>
  </si>
  <si>
    <t>PASYWA  RAZEM</t>
  </si>
  <si>
    <t xml:space="preserve">Dane finasnowe sporządzone w </t>
  </si>
  <si>
    <t>tys. zł</t>
  </si>
  <si>
    <t>Pozostałe przychody operacyjne</t>
  </si>
  <si>
    <t>Pozostałe koszty operacyjne</t>
  </si>
  <si>
    <t>Zysk (strata) na działalności operacyjnej</t>
  </si>
  <si>
    <t>Zysk (strata) netto z działalności kontynuowanej</t>
  </si>
  <si>
    <t>Zysk (strata) z działalności zaniechanej</t>
  </si>
  <si>
    <t>DZIAŁALNOŚĆ OPERACYJNA</t>
  </si>
  <si>
    <t>Korekty razem: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</si>
  <si>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</si>
  <si>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</si>
  <si>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</si>
  <si>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</si>
  <si>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</si>
  <si>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</si>
  <si>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Inne korekty</t>
  </si>
  <si>
    <t>Gotówka z działalności operacyjnej</t>
  </si>
  <si>
    <t>Podatek dochodowy (zapłacony) / zwrócony</t>
  </si>
  <si>
    <t>Przepływy pieniężne netto z działalności operacyjnej</t>
  </si>
  <si>
    <t>DZIAŁALNOŚĆ INWESTYCYJNA</t>
  </si>
  <si>
    <t>Spłata udzielonych pożyczek długoterminowych</t>
  </si>
  <si>
    <t>Przychody z tytułu odsetek</t>
  </si>
  <si>
    <t>Inne wydatki inwestycyjne</t>
  </si>
  <si>
    <t>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</si>
  <si>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</si>
  <si>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</si>
  <si>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</si>
  <si>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</si>
  <si>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</si>
  <si>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</si>
  <si>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</si>
  <si>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</si>
  <si>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</si>
  <si>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 xml:space="preserve">Odsetki </t>
  </si>
  <si>
    <t>Inne wydatki finansowe</t>
  </si>
  <si>
    <t>Przepływy pieniężne netto z działalności finansowej</t>
  </si>
  <si>
    <t>- zmiana stanu środków pieniężnych z tytułu różnic kursowych</t>
  </si>
  <si>
    <t>Wpływy</t>
  </si>
  <si>
    <t>Wydatki</t>
  </si>
  <si>
    <t>tys. zł / zł</t>
  </si>
  <si>
    <t>stan zobowiązań operacyjnych przejęty w wyniku objęcia kontroli (stan zobowiązań jednostki zależnej na dzień objęcia kontroli ze znakiem "-")</t>
  </si>
  <si>
    <t>Zmniejszenie stanu z tytułu sprzedaży spółki zależnej</t>
  </si>
  <si>
    <t>Odpisy aktualizujące wartość należności spornych</t>
  </si>
  <si>
    <t>Odpisy z tytułu utraty wartości</t>
  </si>
  <si>
    <t>Koszty wypłaconych świadczeń</t>
  </si>
  <si>
    <t>Rozwiązanie rezerwy</t>
  </si>
  <si>
    <t>GBP</t>
  </si>
  <si>
    <t>CHF</t>
  </si>
  <si>
    <t>Ogółem</t>
  </si>
  <si>
    <t>krótkoterminowe</t>
  </si>
  <si>
    <t>długoterminowe</t>
  </si>
  <si>
    <t>Pozostałe świadczenia pracownicze</t>
  </si>
  <si>
    <t>Środki pieniężne w bilansie</t>
  </si>
  <si>
    <t>Środki pieniężne i ich ekwiwalenty ogółem wykazane w rachunku przepływów pieniężnych</t>
  </si>
  <si>
    <t>Odsetki i udziały w zyskach (dywidendy) składają się z:</t>
  </si>
  <si>
    <t>odsetki zapłacone od udzielonych pożyczek</t>
  </si>
  <si>
    <t>odsetki zapłacone od kredytów</t>
  </si>
  <si>
    <t>odsetki otrzymane</t>
  </si>
  <si>
    <t>odsetki zapłacone od długoterminowych należności</t>
  </si>
  <si>
    <t>odsetki naliczone od udzielonych pożyczek</t>
  </si>
  <si>
    <t>odsetki naliczone od kredytów i pożyczek</t>
  </si>
  <si>
    <t>Zysk (strata) z działalności inwestycyjnej wynika z:</t>
  </si>
  <si>
    <t>wartość netto zlikwidowanych aktywów trwałych</t>
  </si>
  <si>
    <t>aktualizacja wartości krótkoterminowych aktywów finansowych</t>
  </si>
  <si>
    <t>Zmiana należności wynika z następujących pozycji:</t>
  </si>
  <si>
    <t>zmiana stanu należności krótkoterminowych wynikająca z bilansu</t>
  </si>
  <si>
    <t>zmiana stanu należności długoterminowych wynikająca z bilansu</t>
  </si>
  <si>
    <t>korekta o dopłaty do kapitału</t>
  </si>
  <si>
    <t>korekta o zmianę stanu należności z tytułu zbycia rzeczowych aktywów trwałych</t>
  </si>
  <si>
    <t>korekta o zmianę stanu należności z tytułu zbycia inwestycji niefinansowych</t>
  </si>
  <si>
    <t>korekta o zmianę stanu należności z tytułu zbycia inwestycji finansowych</t>
  </si>
  <si>
    <t>zmiana stanu zobowiązań krótkoterminowych wynikająca z bilansu</t>
  </si>
  <si>
    <t>korekta o spłacony kredyt</t>
  </si>
  <si>
    <t>korekta z tytułu kompensaty dopłat i zobowiązań</t>
  </si>
  <si>
    <t>korekta o zmianę zobowiązania z tyt. niewypłaconej dywidendy</t>
  </si>
  <si>
    <t>korekta o zmianę stanu zobowiązań z tytułu nabycia rzeczowych aktywów trwałych</t>
  </si>
  <si>
    <t>korekta o zmianę stanu zobowiązań z tytułu nabycia aktywów finansowych</t>
  </si>
  <si>
    <t>Na wartość pozycji "inne korekty" składają się:</t>
  </si>
  <si>
    <t>………..</t>
  </si>
  <si>
    <t>Wrocław, ul. B.Prusa 5</t>
  </si>
  <si>
    <t>Naliczone odsetki od lokat krótkoterminowych o okresie realizacji do 3 m-cy</t>
  </si>
  <si>
    <t>Kampanie reklamowe i projekty</t>
  </si>
  <si>
    <t>Podatek dochodowy wykazany w RZiS</t>
  </si>
  <si>
    <t>KOSZTY AMORTYZACJI  I ODPISÓW AKTUALIZUJĄCYCH UJĘTE W RZIS</t>
  </si>
  <si>
    <t>Zmiana stanu instrumentów finansowych</t>
  </si>
  <si>
    <r>
      <t>Stan na pocz</t>
    </r>
    <r>
      <rPr>
        <sz val="8"/>
        <rFont val="Arial"/>
        <family val="2"/>
        <charset val="238"/>
      </rPr>
      <t>ą</t>
    </r>
    <r>
      <rPr>
        <b/>
        <sz val="8"/>
        <rFont val="Arial"/>
        <family val="2"/>
        <charset val="238"/>
      </rPr>
      <t xml:space="preserve">tek okresu </t>
    </r>
  </si>
  <si>
    <t xml:space="preserve">Udzielenie pożyczek </t>
  </si>
  <si>
    <t xml:space="preserve">Kredyty i pożyczki </t>
  </si>
  <si>
    <t xml:space="preserve">Zmniejszenia </t>
  </si>
  <si>
    <t>Różnice kursowe z wyceny bilansowej</t>
  </si>
  <si>
    <t>Aktywa pieniężne kwalifikowane jako ekwiwalenty środków pieniężnych na potrzeby rachunku przepływów pieniężnych</t>
  </si>
  <si>
    <t>1,2</t>
  </si>
  <si>
    <t>Udział w zyskach (stratach) netto jednostek rozliczanych metodą praw własności</t>
  </si>
  <si>
    <t>Należności z tytułu bieżącego podatku dochodowego</t>
  </si>
  <si>
    <t>Kapitały własne akcjonariuszy jednostki dominującej</t>
  </si>
  <si>
    <t>Kapitał zapasowy ze sprzedaży akcji powyżej ceny nominalnej</t>
  </si>
  <si>
    <t>Różnice kursowe z przeliczenia</t>
  </si>
  <si>
    <t xml:space="preserve">Kapitały własne </t>
  </si>
  <si>
    <t xml:space="preserve">Zobowiązania długoterminowe </t>
  </si>
  <si>
    <t>Zobowiązania z tytułu bieżącego podatku dochodowego</t>
  </si>
  <si>
    <t>Kapitał własny akcjonariuszy jednostki dominującej</t>
  </si>
  <si>
    <t>Razem kapitały własne</t>
  </si>
  <si>
    <t>PASYWA</t>
  </si>
  <si>
    <t>Zmiany zasad (polityki) rachunkowości</t>
  </si>
  <si>
    <t>Korekty z tyt. błędów podstawowych</t>
  </si>
  <si>
    <t>Kapitał własny po korektach</t>
  </si>
  <si>
    <t>Koszt emisji akcji</t>
  </si>
  <si>
    <t>Udział w zyskach netto jednostek podporządkowanych wycenianych metodą praw własności</t>
  </si>
  <si>
    <t>Utrata wartości wartości niematerialnych</t>
  </si>
  <si>
    <t xml:space="preserve">Ujemne różnice przejściowe będące podstawą do tworzenia aktywa z tytułu podatku odroczonego </t>
  </si>
  <si>
    <t xml:space="preserve">Dodatnie różnice przejściowe będące podstawą do tworzenia rezerwy z tytułu podatku odroczonego </t>
  </si>
  <si>
    <t>Amortyzacja:</t>
  </si>
  <si>
    <t>bilansowa zmiana stanu rezerw na zobowiązania</t>
  </si>
  <si>
    <t>Zmiana stanu zobowiązań krótkoterminowych, z wyjątkiem zobowiązań finansowych, wynika z następujących pozycji:</t>
  </si>
  <si>
    <t>stan zobowiązań operacyjnych wyłączony w wyniku utraty kontroli (stan zobowiązań jednostki zależnej na dzień utraty kontroli ze znakiem "+")</t>
  </si>
  <si>
    <t>2,3</t>
  </si>
  <si>
    <t>4</t>
  </si>
  <si>
    <t>5</t>
  </si>
  <si>
    <t>6</t>
  </si>
  <si>
    <t>7</t>
  </si>
  <si>
    <t>01.01.200X - 31.12.200X</t>
  </si>
  <si>
    <t>31.12.200X</t>
  </si>
  <si>
    <t>01.01.200(X-1) - 31.12.200(X-1)</t>
  </si>
  <si>
    <t>01.01.200(X-1)</t>
  </si>
  <si>
    <t>31.12.200(X-1)</t>
  </si>
  <si>
    <t>Bieżący rok obrotowy:</t>
  </si>
  <si>
    <t>Poprzedni rok obrotowy</t>
  </si>
  <si>
    <t>Pozostałe zobowiązania krótkoterminowe</t>
  </si>
  <si>
    <t xml:space="preserve"> Instrumenty finansowe utrzymywane do terminu wymagalności</t>
  </si>
  <si>
    <t>- nabycia</t>
  </si>
  <si>
    <t>Składki na ubezpieczenie społeczne (ZUS)</t>
  </si>
  <si>
    <t>Akcyza</t>
  </si>
  <si>
    <t>Opłaty celne</t>
  </si>
  <si>
    <t>Bierne rozliczenia międzyokresowe</t>
  </si>
  <si>
    <t>Rozliczenia międzyokresowe przychodów</t>
  </si>
  <si>
    <t>Przychody przyszłych okresów</t>
  </si>
  <si>
    <t>Zysk (strata) przed opodatkowaniem</t>
  </si>
  <si>
    <t>Podatek dochodowy</t>
  </si>
  <si>
    <t>Odpisy aktualizujące należności</t>
  </si>
  <si>
    <t>Liczba akcji</t>
  </si>
  <si>
    <t>Aktywo z tytułu podatku odroczonego</t>
  </si>
  <si>
    <t>Rezerwa z tytułu podatku odroczonego – działalność kontynuowana</t>
  </si>
  <si>
    <t>Rezerwa z tytułu podatku odroczonego – działalność zaniechana</t>
  </si>
  <si>
    <t>Aktywa/Rezerwa netto z tytułu podatku odroczonego</t>
  </si>
  <si>
    <t xml:space="preserve">Zysk netto z działalności kontynuowanej </t>
  </si>
  <si>
    <t xml:space="preserve">Strata na działalności zaniechanej </t>
  </si>
  <si>
    <t>Wyliczenie zysku na jedną akcje - założenia</t>
  </si>
  <si>
    <t>Efekt rozwodnienia:</t>
  </si>
  <si>
    <t xml:space="preserve"> - odsetki od umarzalnych akcji uprzywilejowanych zamiennych na akcje zwykłe</t>
  </si>
  <si>
    <t xml:space="preserve"> - odsetki od obligacji zamiennych na akcje</t>
  </si>
  <si>
    <t xml:space="preserve"> -  instrument rozwadniający zysk 1</t>
  </si>
  <si>
    <t xml:space="preserve">Zysk wykazany dla potrzeb wyliczenia wartości rozwodnionego zysku przypadającego na jedną akcję </t>
  </si>
  <si>
    <t>Średnia ważona liczba akcji wykazana dla potrzeb wyliczenia wartości podstawowego zysku  na jedną akcję w szt.</t>
  </si>
  <si>
    <t>Efekt rozwodnienia liczby akcji zwykłych</t>
  </si>
  <si>
    <t xml:space="preserve"> - opcje na akcje</t>
  </si>
  <si>
    <t xml:space="preserve"> - obligacje zamienne na akcje</t>
  </si>
  <si>
    <t xml:space="preserve"> - instrument rozwadniający zysk 1</t>
  </si>
  <si>
    <t>Średnia ważona liczba akcji zwykłych wykazana dla potrzeb wyliczenia wartości rozwodnionego zysku na jedną akcję w szt.</t>
  </si>
  <si>
    <t>Liczba wyemitowanych akcji</t>
  </si>
  <si>
    <t>Własne</t>
  </si>
  <si>
    <t>Używane na podstawie umowy najmu, dzierżawy lub innej umowy, w tym umowy leasingu</t>
  </si>
  <si>
    <t>Termin spłaty</t>
  </si>
  <si>
    <t>Wobec jednostek powiązanych</t>
  </si>
  <si>
    <t>Wobec jednostek pozostałych</t>
  </si>
  <si>
    <t>Podatek VAT</t>
  </si>
  <si>
    <t>Podatek zryczałtowany u źródła</t>
  </si>
  <si>
    <t>Podatek dochodowy od osób fizycznych</t>
  </si>
  <si>
    <t>Pozostałe zobowiązania</t>
  </si>
  <si>
    <t>Zobowiązania wobec pracowników z tytułu wynagrodzeń</t>
  </si>
  <si>
    <t>Zobowiązania wobec podmiotów powiązanych</t>
  </si>
  <si>
    <t>Zobowiązania wobec wspólnego przedsięwzięcia</t>
  </si>
  <si>
    <t>Inne zobowiązania</t>
  </si>
  <si>
    <t>Zapasy</t>
  </si>
  <si>
    <t>Aktywa finansowe</t>
  </si>
  <si>
    <t>Zysk wykazany dla potrzeb wyliczenia wartości podstawowego zysku przypadającego na jedną akcję</t>
  </si>
  <si>
    <t>Suma kosztów świadczeń pracowniczych, w tym:</t>
  </si>
  <si>
    <t xml:space="preserve">Wartość udziałów wg ceny nabycia </t>
  </si>
  <si>
    <t>Korekty aktualizujące wartość</t>
  </si>
  <si>
    <t>Wartość bilansowa udziałów</t>
  </si>
  <si>
    <t>Procent posiadanych udziałów</t>
  </si>
  <si>
    <t>Procent posiadanych głosów</t>
  </si>
  <si>
    <t>Zysk / strata netto</t>
  </si>
  <si>
    <t>Wartość aktywów</t>
  </si>
  <si>
    <t>Aktywa trwałe</t>
  </si>
  <si>
    <t>Aktywa obrotowe</t>
  </si>
  <si>
    <t>Wartość zobowiązań</t>
  </si>
  <si>
    <t>Wartość przychodów</t>
  </si>
  <si>
    <t xml:space="preserve"> Pożyczki udzielone, w tym:</t>
  </si>
  <si>
    <t xml:space="preserve"> - dla Zarządu i Rady Nadzorczej</t>
  </si>
  <si>
    <t xml:space="preserve"> Instrumenty zabezpieczające wartość godziwą</t>
  </si>
  <si>
    <t xml:space="preserve"> Instrumenty zabezpieczające przepływy pieniężne</t>
  </si>
  <si>
    <t xml:space="preserve"> Inne</t>
  </si>
  <si>
    <t>Należności długoterminowe</t>
  </si>
  <si>
    <t>RAZEM</t>
  </si>
  <si>
    <t>- inne</t>
  </si>
  <si>
    <t xml:space="preserve">Należności handlowe </t>
  </si>
  <si>
    <t>Stan odpisów aktualizujących wartość należności handlowych na początek okresu</t>
  </si>
  <si>
    <t>Należności handlowe dochodzone na drodze sądowej:</t>
  </si>
  <si>
    <t>Należności handlowe skierowane na drogę postępowania sądowego</t>
  </si>
  <si>
    <t>Wartość netto należności handlowych dochodzonych na drodze sądowej</t>
  </si>
  <si>
    <t xml:space="preserve"> - długoterminowe</t>
  </si>
  <si>
    <t xml:space="preserve"> - krótkoterminowe</t>
  </si>
  <si>
    <t>Udzielone pożyczki</t>
  </si>
  <si>
    <t>- otrzymania aportu</t>
  </si>
  <si>
    <t>Udzielone pożyczki, w tym:</t>
  </si>
  <si>
    <t>- dla Zarządu i Rady Nadzorczej</t>
  </si>
  <si>
    <t>Odpisy aktualizujące z tytułu utraty wartości</t>
  </si>
  <si>
    <t>Suma netto udzielonych pożyczek</t>
  </si>
  <si>
    <t>Pożyczkobiorca</t>
  </si>
  <si>
    <t>Kwota pożyczki wg umowy</t>
  </si>
  <si>
    <t>Oprocentowanie</t>
  </si>
  <si>
    <t>nominalne</t>
  </si>
  <si>
    <t>efektywne</t>
  </si>
  <si>
    <t>Środki
transportu</t>
  </si>
  <si>
    <t>Pozostałe
środki
trwałe</t>
  </si>
  <si>
    <t>Koszty finansowe</t>
  </si>
  <si>
    <t>Wartość firmy</t>
  </si>
  <si>
    <t>Pozostałe</t>
  </si>
  <si>
    <t>Nie przeterminowane</t>
  </si>
  <si>
    <t>Odsetki naliczone wg efektywnej stopy procentowej</t>
  </si>
  <si>
    <t>Wycena bilansowa odniesiona na kapitał</t>
  </si>
  <si>
    <t>Wycena bilansowa odniesiona w RZIS</t>
  </si>
  <si>
    <t>Pozostałe świadczenia długoterminowe</t>
  </si>
  <si>
    <t>Przychody ze szprzedaży emoenty</t>
  </si>
  <si>
    <t>Aktywa segmentu</t>
  </si>
  <si>
    <t>Zysk (strata) przypisana akcjonariuszom niekontrolującym</t>
  </si>
  <si>
    <t>Suma dochodów całkowitych przypisana akcjonariuszom niekontrolującym</t>
  </si>
  <si>
    <t>Kapitał akcjonariuszy niekontrolujących</t>
  </si>
  <si>
    <t>Zobowiązania leasingowe</t>
  </si>
  <si>
    <t>Zobowiązania leasingowe krótkoterminowe</t>
  </si>
  <si>
    <t>Zobowiązania leasingowe długoterminowe, w tym:</t>
  </si>
  <si>
    <t>- od roku do pięciu lat</t>
  </si>
  <si>
    <t>- powyżej pięciu lat</t>
  </si>
  <si>
    <t>Zobowiązania leasingowe razem</t>
  </si>
  <si>
    <t>Działalność zaniechana</t>
  </si>
  <si>
    <t>Sprzedaż na zewnątrz</t>
  </si>
  <si>
    <t>Sprzedaż między segmentami</t>
  </si>
  <si>
    <t xml:space="preserve">Koszty segmentu </t>
  </si>
  <si>
    <t>Koszty sprzedaży zewnętrznej</t>
  </si>
  <si>
    <t>Koszty sprzedaży między segmentami</t>
  </si>
  <si>
    <t>Zysk/ (strata) segmentu</t>
  </si>
  <si>
    <t>Zysk/(strata) przed opodatkowaniem</t>
  </si>
  <si>
    <t>Udział w zyskach (stratach) jednostek stowarzyszonych i wspólnych przedsięwzięć wycenianych metodą praw własności</t>
  </si>
  <si>
    <t xml:space="preserve">Zysk/ (strata) netto </t>
  </si>
  <si>
    <t>Aktywa ogółem</t>
  </si>
  <si>
    <t xml:space="preserve">Aktywa nieprzypisane </t>
  </si>
  <si>
    <t>Zobowiązania ogółem</t>
  </si>
  <si>
    <t>Zobowiązania segmentu</t>
  </si>
  <si>
    <t xml:space="preserve">Zobowiązania nieprzypisane </t>
  </si>
  <si>
    <t>Pozostałe informacje dotyczące segmentu</t>
  </si>
  <si>
    <t>Nakłady inwestycyjne</t>
  </si>
  <si>
    <t>- rzeczowe aktywa trwałe</t>
  </si>
  <si>
    <t>- wartości niematerialne</t>
  </si>
  <si>
    <t>- nieruchomości inwestycyjne</t>
  </si>
  <si>
    <t xml:space="preserve">Amortyzacja </t>
  </si>
  <si>
    <t>Odpisy aktualizujące wartości aktywów finansowych i niefinansowych</t>
  </si>
  <si>
    <t>Istotne pozostałe koszty niepieniężne</t>
  </si>
  <si>
    <t>Wyłączenia konsolidacyjne</t>
  </si>
  <si>
    <r>
      <t>Korekty</t>
    </r>
    <r>
      <rPr>
        <b/>
        <vertAlign val="superscript"/>
        <sz val="8"/>
        <rFont val="Arial"/>
        <family val="2"/>
        <charset val="238"/>
      </rPr>
      <t>*</t>
    </r>
  </si>
  <si>
    <t>Nota 1. PRZYCHODY ZE SPRZEDAŻY</t>
  </si>
  <si>
    <t>Nota 2. SEGMENTY OPERACYJNE</t>
  </si>
  <si>
    <t>Nota 3. KOSZTY DZIAŁALNOŚCI OPERACYJNEJ</t>
  </si>
  <si>
    <t>Nota 4. POZOSTAŁE PRZYCHODY I KOSZTY OPERACYJNE</t>
  </si>
  <si>
    <t>Nota 5. PRZYCHODY  I KOSZTY FINANSOWE</t>
  </si>
  <si>
    <t>Nota 6. PODATEK DOCHODOWY I ODROCZONY PODATEK DOCHODOWY</t>
  </si>
  <si>
    <t>RACHUNEK ZYSKÓW I STRAT</t>
  </si>
  <si>
    <t>BILANS</t>
  </si>
  <si>
    <t>RACHUNEK PRZEPŁYWÓW PIENIĘŻNYCH</t>
  </si>
  <si>
    <t>Kurs EUR/PLN</t>
  </si>
  <si>
    <t>- dla danych bilansowych</t>
  </si>
  <si>
    <t>- dla danych rachunku zysków i strat</t>
  </si>
  <si>
    <t>Do przeliczenia danych bilansowych użyto kursu średniego NBP na dzień bilansowy. 
Do przeliczenia pozycji rachunku zysków i strat oraz rachunku przepływów pieniężnych użyto kursu będącego średnią arytmetyczną kursów NBP obowiązujących na ostatni dzień poszczególnych miesięcy danego okresu.</t>
  </si>
  <si>
    <t>Nakłady na prace badawcze i rozwojowe</t>
  </si>
  <si>
    <t>Różnica z tytułu przekazania aktywów niegotówkowych właścicielom</t>
  </si>
  <si>
    <t>Pozycje do przekwalifikowania do rachunku zysków i strat w kolejnych okresach</t>
  </si>
  <si>
    <t>Rożnice kursowe z przeliczenia jegnostek działających za granicą</t>
  </si>
  <si>
    <t>Różnice kursowe z przeliczenia jednostek wycenianych metodą praw własności</t>
  </si>
  <si>
    <t>Strata netto z zabezpieczenia udziału w aktywach netto w jednostkach działających za granicą</t>
  </si>
  <si>
    <t>Zmiana netto wartości godziwej aktywów finansowych dostępnych do sprzedaży</t>
  </si>
  <si>
    <t>Zmiana netto wartości godziwej aktywów finansowych dostępnych do sprzedaży przeklasyfikowana do zysku lub straty bieżącego okresu</t>
  </si>
  <si>
    <t>Efektywna część  zmian wartości godziwej instrumentów zabezpieczających przepływy środków pieniężnych</t>
  </si>
  <si>
    <t>Zmiana netto wartości godziwej instrumentów zabezpieczających przepływy pieniężne przeklasyfikowana do zysku lub straty bieżącego okresu</t>
  </si>
  <si>
    <t>Pozycje, które nie będą przekwalifikowane do rachunku zysków i strat w kolejnych okresach</t>
  </si>
  <si>
    <t>Przeszacownie rzeczowego majątku trwałego</t>
  </si>
  <si>
    <t>Zyski (straty) aktuarialne z programów określonych świadczeń</t>
  </si>
  <si>
    <r>
      <t>Efektywna stawka podatku</t>
    </r>
    <r>
      <rPr>
        <sz val="8"/>
        <rFont val="Arial"/>
        <family val="2"/>
        <charset val="238"/>
      </rPr>
      <t xml:space="preserve"> (udział obciążenia podatkowego wykazanego w rachunku zysków i strat  w zysku przed opodatkowaniem)</t>
    </r>
  </si>
  <si>
    <t>13</t>
  </si>
  <si>
    <t>15</t>
  </si>
  <si>
    <t>16</t>
  </si>
  <si>
    <t>17</t>
  </si>
  <si>
    <t>18</t>
  </si>
  <si>
    <t>19</t>
  </si>
  <si>
    <t>29</t>
  </si>
  <si>
    <t>wspólne przedsiewziecia:</t>
  </si>
  <si>
    <t>Zmiana stanu inwestycji w jednostkach stowarzyszonych i wspólnych przedsięwzięciach</t>
  </si>
  <si>
    <t>Koszty działalności operacyjnej</t>
  </si>
  <si>
    <t xml:space="preserve">Zużycie materiałów i energii </t>
  </si>
  <si>
    <t xml:space="preserve">Usługi obce </t>
  </si>
  <si>
    <t xml:space="preserve">Podatki i opłaty, w tym: </t>
  </si>
  <si>
    <t xml:space="preserve">Ubezpieczenia społeczne i inne świadczenia </t>
  </si>
  <si>
    <t xml:space="preserve">Pozostałe koszty rodzajowe </t>
  </si>
  <si>
    <t>Zysk (strata) ze sprzedaży</t>
  </si>
  <si>
    <t>SARE S.A.</t>
  </si>
  <si>
    <t>Rybnik, ul. Raciborska 35a</t>
  </si>
  <si>
    <t>Pożyczki krókoterminowe</t>
  </si>
  <si>
    <t>Kapitał mniejszości</t>
  </si>
  <si>
    <t>Korekty konsolidacyjne</t>
  </si>
  <si>
    <t>Koszt programu opcji managerskich</t>
  </si>
  <si>
    <t>Włączenie do konsolidacji środków trwałych</t>
  </si>
  <si>
    <t>Pozostałe obciążenia</t>
  </si>
  <si>
    <t>Wartość sprzedanych towarów i materiałó</t>
  </si>
  <si>
    <t>Składki nieobowiązkowe na rzecz organizacji</t>
  </si>
  <si>
    <t>Koszty postępowaniam sądowego</t>
  </si>
  <si>
    <t>Likwidacja środków trwałych</t>
  </si>
  <si>
    <t>Zysk (strata) na sprzedaży całości lub części udziałów jednostek podporządkowanych</t>
  </si>
  <si>
    <t>Teletarget Sp. z o.o.</t>
  </si>
  <si>
    <t>Kasa Rybnik</t>
  </si>
  <si>
    <t>Kasa Warszawa</t>
  </si>
  <si>
    <t>Kasa EUR</t>
  </si>
  <si>
    <t>Kasa RUB</t>
  </si>
  <si>
    <t>BRE BANK</t>
  </si>
  <si>
    <t>ING</t>
  </si>
  <si>
    <t>PKO BP</t>
  </si>
  <si>
    <t>Rachunek walutowy EUR</t>
  </si>
  <si>
    <t>Rachunek walutowy USD</t>
  </si>
  <si>
    <t>Rachunek walutowy EUR ING</t>
  </si>
  <si>
    <t>Rachunek walutowy USD ING</t>
  </si>
  <si>
    <t>Kasa INIS</t>
  </si>
  <si>
    <t>ING Bank INIS</t>
  </si>
  <si>
    <t>ING EUR INIS</t>
  </si>
  <si>
    <t>ING Dotacja INIS</t>
  </si>
  <si>
    <t>ING Dotacja 2 INIS</t>
  </si>
  <si>
    <t>Kasa Mr Target</t>
  </si>
  <si>
    <t>ING Bank…9404 Mr Target</t>
  </si>
  <si>
    <t>ING Bank…7930 Mr Target</t>
  </si>
  <si>
    <t>Kasa Salelifter</t>
  </si>
  <si>
    <t>ING Bank Salelifter</t>
  </si>
  <si>
    <t>ING Bank EUR Salelifter</t>
  </si>
  <si>
    <t>Kasa Teletarget</t>
  </si>
  <si>
    <t>ING Bank Teletarget</t>
  </si>
  <si>
    <t>Prace rozwojowe</t>
  </si>
  <si>
    <t>Rozliczenie kosztów sfinansowanych dotacją</t>
  </si>
  <si>
    <t>Pruszczyński Tomasz</t>
  </si>
  <si>
    <t>Rutkowski Damian</t>
  </si>
  <si>
    <t>Karta kredytowa</t>
  </si>
  <si>
    <t>Aktualizacja wartości inwestycji</t>
  </si>
  <si>
    <t>korekta VAT naliczonego</t>
  </si>
  <si>
    <t>IT – Dział programowania</t>
  </si>
  <si>
    <t>Obsługa Klienta</t>
  </si>
  <si>
    <t>Pozostali pracownicy</t>
  </si>
  <si>
    <t>Mr Target Sp. z o.o.</t>
  </si>
  <si>
    <t>Inis Sp. z o.o.</t>
  </si>
  <si>
    <t>Salelifter Sp.z o.o.</t>
  </si>
  <si>
    <t>OS3 Sp. z o.o.</t>
  </si>
  <si>
    <t>pruszczynski.pl</t>
  </si>
  <si>
    <t>Biuro Doradztwa Biznesowego Dariusz Piekarski</t>
  </si>
  <si>
    <t>Seria A</t>
  </si>
  <si>
    <t>na okaziciela</t>
  </si>
  <si>
    <t>Seria B</t>
  </si>
  <si>
    <t>WS Investment Limited</t>
  </si>
  <si>
    <t>Dębowski Krzysztof</t>
  </si>
  <si>
    <t>Vasto Investment s.a.r.l.</t>
  </si>
  <si>
    <t>Sprzedaż udziałów powyżej ich wartości nominalnej</t>
  </si>
  <si>
    <t>Emagenio Sp. z o.o.</t>
  </si>
  <si>
    <t>Neron IT Sp. z o.o.</t>
  </si>
  <si>
    <t>nieistotność</t>
  </si>
  <si>
    <t>-wartość firmy</t>
  </si>
  <si>
    <t>-zysk za 2014</t>
  </si>
  <si>
    <t>-strata za lata ubiegłe</t>
  </si>
  <si>
    <t>-zysk za 2013</t>
  </si>
  <si>
    <t>ING Bank Śląski - karta kredytowa</t>
  </si>
  <si>
    <t>Rezerwa na ugodę</t>
  </si>
  <si>
    <t>Wynagrodzenie prowizyjne</t>
  </si>
  <si>
    <t>Bierne rozliczenia międzyokresowe kosztów</t>
  </si>
  <si>
    <t>Rezerwa na badanie sprawozdania finansowego</t>
  </si>
  <si>
    <t>Rozliczenia międzyokresowe, w tym:</t>
  </si>
  <si>
    <t xml:space="preserve">Rozliczenia międzyokresowe </t>
  </si>
  <si>
    <t>Emagenio sp. z o.o.</t>
  </si>
  <si>
    <t>NeronIT sp. z o.o.</t>
  </si>
  <si>
    <t>brak</t>
  </si>
  <si>
    <t>Pożyczka - były Członek Zarządu</t>
  </si>
  <si>
    <t xml:space="preserve">Pożyczka Teletarget </t>
  </si>
  <si>
    <t>Zakup akcji (udziałów)</t>
  </si>
  <si>
    <t>Odwrócenie wyceny z 2012 i 2013</t>
  </si>
  <si>
    <t>Sprzedaż akcji (udziałów)</t>
  </si>
  <si>
    <t>Odsetki</t>
  </si>
  <si>
    <t xml:space="preserve">Pozostałe   </t>
  </si>
  <si>
    <t>SARE</t>
  </si>
  <si>
    <t>Inis, Mr Target</t>
  </si>
  <si>
    <t>Salelifter</t>
  </si>
  <si>
    <t>Teletaget</t>
  </si>
  <si>
    <t>UE</t>
  </si>
  <si>
    <t>Poza UE</t>
  </si>
  <si>
    <t>Fundacja Force, Rybnik</t>
  </si>
  <si>
    <t>- nabycie udziałów</t>
  </si>
  <si>
    <t>odsetki zapłacone</t>
  </si>
  <si>
    <t>Eliminacja odpisów amortyzacyjnych wartości firmy</t>
  </si>
  <si>
    <t>Opcje managerskie</t>
  </si>
  <si>
    <t>Strata w jednostkach stowarzyszonych</t>
  </si>
  <si>
    <t>INCITE Jarosław Nowak</t>
  </si>
  <si>
    <t>9</t>
  </si>
  <si>
    <t>10</t>
  </si>
  <si>
    <t>11</t>
  </si>
  <si>
    <t>12</t>
  </si>
  <si>
    <t>Jednostka powiązana osobowo z grupą</t>
  </si>
  <si>
    <t>Istotne pozycje przychodów ujawnione zgodnie z pkt.86 MSSF 8 (np. przychody z tytułu wyceny i realizacji instrumentów finansowych)</t>
  </si>
  <si>
    <t>Istotne pozycje kosztów ujawnione zgodnie z pkt.86 MSSF 8 (np. koszty z tytułu wyceny i realizacji instrumentów finansowych, odpisy aktualizujące rzeczowe aktywa trwałe i wartości niematerialne, aktualizacja rezerw na świadczenia pracownicze)</t>
  </si>
  <si>
    <t>Zyski (straty) mniejszości</t>
  </si>
  <si>
    <t>01.01.2015-31.12.2015</t>
  </si>
  <si>
    <t>Kapitał własny na dzień 01.01.2015</t>
  </si>
  <si>
    <t>Kapitał własny na dzień 31.12.2015</t>
  </si>
  <si>
    <t>Informacja o poszcególnych segmentach operacyjnych wystepujacych w okresie 01.01.2015-31.12.2015</t>
  </si>
  <si>
    <t>Rodzaj asortymentu 01.01.2015-31.12.2015</t>
  </si>
  <si>
    <t>Segmenty geograficzne za okres 01.01.2015-31.12.2015</t>
  </si>
  <si>
    <t>Zmiany środków trwałych (wg grup rodzajowych) za okres 01.01.2015-31.12.2015</t>
  </si>
  <si>
    <t>Wartość bilansowa brutto na dzień 01.01.2015</t>
  </si>
  <si>
    <t>Wartość bilansowa brutto na dzień 31.12.2015</t>
  </si>
  <si>
    <t>Zmiany wartości niematerialnych (wg grup rodzajowych) - za okres 01.01.2015-31.12.2015</t>
  </si>
  <si>
    <t>Umorzenie na dzień 01.01.2015</t>
  </si>
  <si>
    <t>Umorzenie na dzień 31.12.2015</t>
  </si>
  <si>
    <t>Wartość bilansowa netto na dzień 31.12.2015</t>
  </si>
  <si>
    <t>Kapitał zakładowy struktura na dzień 31.12.2015</t>
  </si>
  <si>
    <t>Kredyty i pożyczki, stan na 31.12.2015</t>
  </si>
  <si>
    <t>Stan na 31.12.2015, w tym</t>
  </si>
  <si>
    <t>Umowy współpracy</t>
  </si>
  <si>
    <t>Inwestycje w jednostkach  stowarzyszonych i wspolnych przedsięwzieciach na dzień 31.12.2015  r.</t>
  </si>
  <si>
    <t>Inwestycje w jednostkach podporządkowanych nie objętych konsolidacją na dzień 31.12.2015</t>
  </si>
  <si>
    <t>Sare GmbH</t>
  </si>
  <si>
    <t>Wg stanu na dzień 31.12.2015</t>
  </si>
  <si>
    <t>nd</t>
  </si>
  <si>
    <t>Martis Consulting</t>
  </si>
  <si>
    <t>Innych tutułów</t>
  </si>
  <si>
    <t>Wynik za rok 2015</t>
  </si>
  <si>
    <t>mr Target sp. z o.o.</t>
  </si>
  <si>
    <t>Ubezpieczenia majątkowe, OC</t>
  </si>
  <si>
    <t>Raty za telefon</t>
  </si>
  <si>
    <t>- za badanie półrocznego sprawozdania finansowego skonsolidowanego oraz werryfikację jednostkowego sprawozdania finansowego</t>
  </si>
  <si>
    <t>- za usługi doradztwa w zakresie wdrożenia MSR</t>
  </si>
  <si>
    <t>- weryfikacja oraz opinia do historycznej informacji finansowej</t>
  </si>
  <si>
    <t>koszty finansowe leasing</t>
  </si>
  <si>
    <t>dywidendy otrzymane</t>
  </si>
  <si>
    <t>01.01.2016-31.12.2016</t>
  </si>
  <si>
    <t>Kapitał własny na dzień 01.01.2016</t>
  </si>
  <si>
    <t>Kapitał własny na dzień 31.12.2016</t>
  </si>
  <si>
    <t>Informacja o poszcególnych segmentach operacyjnych wystepujacych w okresie 01.01.2016-31.12.2016</t>
  </si>
  <si>
    <t>Inwestycje w jednostkach  stowarzyszonych i wspolnych przedsięwzieciach na dzień 31.12.2016  r.</t>
  </si>
  <si>
    <t>Odsetki od pożyczek</t>
  </si>
  <si>
    <t>Zmiany środków trwałych (wg grup rodzajowych) za okres 01.01.2016-31.12.2016</t>
  </si>
  <si>
    <t>Zmiany wartości niematerialnych (wg grup rodzajowych) - za okres 01.01.2016-31.12.2016</t>
  </si>
  <si>
    <t>- strata za 2015</t>
  </si>
  <si>
    <t>Inwestycje w jednostkach podporządkowanych nie objętych konsolidacją na dzień 31.12.2016</t>
  </si>
  <si>
    <t>Kapitał zakładowy struktura na dzień 31.12.2016</t>
  </si>
  <si>
    <t>Kredyty i pożyczki, stan na 31.12.2016</t>
  </si>
  <si>
    <t>Stana na dzień 01.01.2015</t>
  </si>
  <si>
    <t>Stan na 31.12.2016, w tym</t>
  </si>
  <si>
    <t>Stan na 01.01.2016</t>
  </si>
  <si>
    <t>Świadczenia wypłacane Członkom Rady Nadzorczej</t>
  </si>
  <si>
    <t>Wynik za rok 2016</t>
  </si>
  <si>
    <t>Udział w wyniku</t>
  </si>
  <si>
    <t>Wg stanu na dzień 31.12.2016</t>
  </si>
  <si>
    <t>Zobowiązania handlowe - struktura przeterminowania</t>
  </si>
  <si>
    <t>Przeterminowane, lecz ściągalne</t>
  </si>
  <si>
    <t>Segmenty geograficzne za okres 01.01.2016-31.12.2016</t>
  </si>
  <si>
    <t>0-30</t>
  </si>
  <si>
    <t>31-90</t>
  </si>
  <si>
    <t>181-365</t>
  </si>
  <si>
    <t>&gt;366 dni</t>
  </si>
  <si>
    <t>Dwanaście miesięcy zakończonych 31.12.2016</t>
  </si>
  <si>
    <t>Korekta wyniku roku poprzedniego</t>
  </si>
  <si>
    <t>strata na sprzedaży aktywów trwałych</t>
  </si>
  <si>
    <t>strata ze sprzedazy aktywów finansowych</t>
  </si>
  <si>
    <t>bilansowa zmiana stanu rezerw z tytułu odroczonego podatku dochodowego</t>
  </si>
  <si>
    <t>Zysk na okazjonalnym nabyciu</t>
  </si>
  <si>
    <t>PFRON</t>
  </si>
  <si>
    <t>Zobowiązania z tytułu korekty VAT (ulga na złe długi)</t>
  </si>
  <si>
    <t>Bieżące i przeterminowane należności handlowe na 31.12.2016 r.</t>
  </si>
  <si>
    <t>powyżej 365</t>
  </si>
  <si>
    <t>Jednostki powiązane nie objęte konsolidacją</t>
  </si>
  <si>
    <t>należności brutto</t>
  </si>
  <si>
    <t>odpisy akualizujące</t>
  </si>
  <si>
    <t>nalezności netto</t>
  </si>
  <si>
    <t>Bieżące i przeterminowane należności handlowe na 31.12.2015 r.</t>
  </si>
  <si>
    <t>Kasa UAH</t>
  </si>
  <si>
    <t>ING Bank Salelifter 242763</t>
  </si>
  <si>
    <t>Seria C</t>
  </si>
  <si>
    <t>Seria D</t>
  </si>
  <si>
    <t>emisja akcji serii C</t>
  </si>
  <si>
    <t>emisja akcji serii D</t>
  </si>
  <si>
    <t>Jednostka stowarzyszona</t>
  </si>
  <si>
    <t>Hostersi sp. z o.o.</t>
  </si>
  <si>
    <t>tupolska.pl</t>
  </si>
  <si>
    <t>Związek przedsiębiorców i pracodawców</t>
  </si>
  <si>
    <t>tuwrocław sp. z o.o.</t>
  </si>
  <si>
    <t>Smart Concept Roman Grygierek</t>
  </si>
  <si>
    <t>Dywidenda</t>
  </si>
  <si>
    <t>-wytworzenia we własnym zakresie</t>
  </si>
  <si>
    <t>Amortyzacja bilansowa&gt; amorrtyzacji podatkowej</t>
  </si>
  <si>
    <t>Inne, w tym oprogramowanie komputerowe</t>
  </si>
  <si>
    <t>Patenty i licencje</t>
  </si>
  <si>
    <t>Znaki towarowe</t>
  </si>
  <si>
    <t>BRE Bank…1001 Mr Target</t>
  </si>
  <si>
    <t>BRE Bank…1005 Mr Target</t>
  </si>
  <si>
    <t>BRE Bank INIS</t>
  </si>
  <si>
    <t>Rezerwy na usługi</t>
  </si>
  <si>
    <t>14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</si>
  <si>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</si>
  <si>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</si>
  <si>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</si>
  <si>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</si>
  <si>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</si>
  <si>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</si>
  <si>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</si>
  <si>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</si>
  <si>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</si>
  <si>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Podatek dochodowy w spółkach z dodatnim wynikiem finansowym (zysk netto) - Inis SL w 2016 i SARE, MRT, SL, INIS w 2015</t>
  </si>
  <si>
    <t>Podatek dochodowy w spółkach ze stratą TT w 2015 i TT i MRT, SARE w 2016</t>
  </si>
  <si>
    <t>Rodzaj asortymentu 01.01.2016-31.12.2016</t>
  </si>
  <si>
    <t>Wartość bilansowa brutto na dzień 01.01.2016</t>
  </si>
  <si>
    <t>Wartość bilansowa brutto na dzień 31.12.2016</t>
  </si>
  <si>
    <t>Umorzenie na dzień 01.01.2016</t>
  </si>
  <si>
    <t>Umorzenie na dzień 31.12.2016</t>
  </si>
  <si>
    <t>Wartość bilansowa netto na dzień 31.12.2016</t>
  </si>
  <si>
    <t>2016-12-31</t>
  </si>
  <si>
    <t>Dwanaście miesięcy zakończonych 31.12.2015</t>
  </si>
  <si>
    <t>Należności</t>
  </si>
  <si>
    <t>Nota 7. ZYSK PRZYPADAJĄCY NA JEDNĄ AKCJĘ</t>
  </si>
  <si>
    <t>Nota 9. RZECZOWE AKTYWA TRWAŁE</t>
  </si>
  <si>
    <t>Nota 10. WARTOŚCI NIEMATERIALNE</t>
  </si>
  <si>
    <r>
      <t>Koszty prac rozwojowych</t>
    </r>
    <r>
      <rPr>
        <b/>
        <vertAlign val="superscript"/>
        <sz val="8"/>
        <color rgb="FF000000"/>
        <rFont val="Arial"/>
        <family val="2"/>
        <charset val="238"/>
      </rPr>
      <t>1</t>
    </r>
  </si>
  <si>
    <t>Nota 11. WARTOŚĆ FIRMY</t>
  </si>
  <si>
    <t>Nota 12. INWESTYCJE W JEDNOSTKACH POWIĄZANYCH WYCENIANYCH METODĄ PRAW WŁASNOŚCI</t>
  </si>
  <si>
    <t>Nota 13. AKCJE / UDZIAŁY W JEDNOSTKACH PODPORZĄDKOWANYCH NIE OBJĘTYCH KONSOLIDACJĄ</t>
  </si>
  <si>
    <t>Nota 14. POZOSTAŁE AKTYWA FINANSOWE</t>
  </si>
  <si>
    <t xml:space="preserve">Nota 15. NALEŻNOŚCI HANDLOWE </t>
  </si>
  <si>
    <t xml:space="preserve">Nota 16. POZOSTAŁE NALEŻNOŚCI </t>
  </si>
  <si>
    <t>Nota 17. ROZLICZENIA MIĘDZYOKRESOWE</t>
  </si>
  <si>
    <t>Nota 18. ŚRODKI PIENIĘŻNE I ICH EKWIWALENTY</t>
  </si>
  <si>
    <t>Nota 19. KAPITAŁ ZAKŁADOWY</t>
  </si>
  <si>
    <t>Nota 20. POZOSTAŁE KAPITAŁY</t>
  </si>
  <si>
    <t>Nota 21. NIEPODZIELONY WYNIK FINANSOWY</t>
  </si>
  <si>
    <t>Nota 22. KAPITAŁ PRZYPADAJĄCY NA AKCJONARIUSZY NIEKONTROLUJĄCYCH</t>
  </si>
  <si>
    <t>Nota 23. KREDYTY I POŻYCZKI</t>
  </si>
  <si>
    <t xml:space="preserve">Nota 24. POZOSTAŁE ZOBOWIĄZANIA FINANSOWE </t>
  </si>
  <si>
    <t>Nota 25. ZOBOWIĄZANIA HANDLOWE</t>
  </si>
  <si>
    <t xml:space="preserve">Nota 26. POZOSTAŁE ZOBOWIĄZANIA </t>
  </si>
  <si>
    <t>Nota 27. Inne Rozliczenia międzyokresowe</t>
  </si>
  <si>
    <t>Nota 28. REZERWY NA ŚWIADCZENIA EMERYTALNE I PODOBNE</t>
  </si>
  <si>
    <t>Nota 29.  POZOSTAŁE REZERWY</t>
  </si>
  <si>
    <t>Nota 31. ZARZĄDZANIE KAPITAŁEM</t>
  </si>
  <si>
    <t>Nota 33. INFORMACJE O PODMIOTACH POWIĄZANYCH</t>
  </si>
  <si>
    <t>Nota 34. WYNAGRODZENIE WYŻSZEJ KADRY KIEROWNICZEJ</t>
  </si>
  <si>
    <t>Nota 35. STRUKTURA ZATRUDNIENIA</t>
  </si>
  <si>
    <t xml:space="preserve">Nota 40. INFORMACJE O TRANSAKCJACH Z PODMIOTEM DOKONUJĄCYM BADANIA SPRAWOZDANIA </t>
  </si>
  <si>
    <t>Nota 41. OBJAŚNIENIA DO SPAWOZDANIA Z PRZEPŁYWÓW PIENIĘŻNYCH</t>
  </si>
  <si>
    <t>dane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</si>
</sst>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_);\(#,##0\);\-______"/>
    <numFmt numFmtId="165" formatCode="#,##0.00_);\(#,##0.00\);\-______"/>
    <numFmt numFmtId="166" formatCode="0.0%"/>
    <numFmt numFmtId="167" formatCode="0.0000"/>
  </numFmts>
  <fonts count="6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23"/>
      <name val="Arial"/>
      <family val="2"/>
      <charset val="238"/>
    </font>
    <font>
      <sz val="8"/>
      <color indexed="55"/>
      <name val="Arial"/>
      <family val="2"/>
      <charset val="238"/>
    </font>
    <font>
      <i/>
      <sz val="8"/>
      <color indexed="55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indexed="2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color indexed="55"/>
      <name val="Arial"/>
      <family val="2"/>
      <charset val="238"/>
    </font>
    <font>
      <sz val="8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u/>
      <sz val="8"/>
      <color indexed="12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vertAlign val="superscript"/>
      <sz val="8"/>
      <color indexed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18" fillId="0" borderId="0"/>
    <xf numFmtId="0" fontId="53" fillId="0" borderId="0"/>
    <xf numFmtId="0" fontId="17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96">
    <xf numFmtId="0" fontId="0" fillId="0" borderId="0" xfId="0"/>
    <xf numFmtId="0" fontId="6" fillId="0" borderId="0" xfId="0" applyFont="1" applyBorder="1"/>
    <xf numFmtId="0" fontId="4" fillId="0" borderId="1" xfId="0" applyFont="1" applyBorder="1" applyAlignment="1">
      <alignment wrapText="1"/>
    </xf>
    <xf numFmtId="0" fontId="6" fillId="0" borderId="0" xfId="0" applyFont="1" applyFill="1" applyBorder="1"/>
    <xf numFmtId="0" fontId="12" fillId="0" borderId="0" xfId="0" applyFont="1" applyBorder="1"/>
    <xf numFmtId="0" fontId="11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 indent="1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164" fontId="7" fillId="0" borderId="0" xfId="8" applyNumberFormat="1" applyFont="1" applyFill="1" applyBorder="1" applyAlignment="1" applyProtection="1">
      <protection locked="0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7" fillId="0" borderId="0" xfId="7" applyFont="1" applyBorder="1"/>
    <xf numFmtId="0" fontId="17" fillId="2" borderId="0" xfId="7" applyFont="1" applyFill="1" applyBorder="1" applyAlignment="1">
      <alignment vertical="center"/>
    </xf>
    <xf numFmtId="0" fontId="24" fillId="0" borderId="0" xfId="7" applyFont="1" applyBorder="1" applyAlignment="1">
      <alignment vertical="center"/>
    </xf>
    <xf numFmtId="0" fontId="15" fillId="0" borderId="0" xfId="7" applyFont="1" applyBorder="1" applyAlignment="1">
      <alignment vertical="center"/>
    </xf>
    <xf numFmtId="0" fontId="17" fillId="0" borderId="0" xfId="7" applyFont="1" applyBorder="1" applyAlignment="1">
      <alignment vertical="center"/>
    </xf>
    <xf numFmtId="0" fontId="25" fillId="0" borderId="0" xfId="7" applyFont="1" applyFill="1" applyBorder="1" applyAlignment="1">
      <alignment wrapText="1"/>
    </xf>
    <xf numFmtId="4" fontId="25" fillId="0" borderId="0" xfId="7" applyNumberFormat="1" applyFont="1" applyFill="1" applyBorder="1" applyAlignment="1" applyProtection="1">
      <alignment wrapText="1"/>
      <protection locked="0"/>
    </xf>
    <xf numFmtId="0" fontId="25" fillId="0" borderId="0" xfId="7" applyFont="1" applyBorder="1"/>
    <xf numFmtId="0" fontId="17" fillId="0" borderId="0" xfId="7" applyFont="1" applyFill="1" applyBorder="1"/>
    <xf numFmtId="4" fontId="17" fillId="0" borderId="0" xfId="7" applyNumberFormat="1" applyFont="1" applyFill="1" applyBorder="1" applyAlignment="1" applyProtection="1">
      <alignment wrapText="1"/>
      <protection locked="0"/>
    </xf>
    <xf numFmtId="0" fontId="17" fillId="0" borderId="0" xfId="7" applyFont="1" applyFill="1" applyBorder="1" applyAlignment="1">
      <alignment wrapText="1"/>
    </xf>
    <xf numFmtId="4" fontId="26" fillId="0" borderId="0" xfId="7" applyNumberFormat="1" applyFont="1" applyFill="1" applyBorder="1" applyAlignment="1" applyProtection="1">
      <alignment wrapText="1"/>
      <protection locked="0"/>
    </xf>
    <xf numFmtId="0" fontId="1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5" fillId="0" borderId="0" xfId="7" applyFont="1" applyBorder="1" applyAlignment="1">
      <alignment wrapText="1"/>
    </xf>
    <xf numFmtId="0" fontId="17" fillId="0" borderId="0" xfId="7" applyFont="1"/>
    <xf numFmtId="0" fontId="17" fillId="2" borderId="0" xfId="7" applyFont="1" applyFill="1" applyAlignment="1">
      <alignment vertical="center"/>
    </xf>
    <xf numFmtId="0" fontId="17" fillId="0" borderId="0" xfId="7" applyFont="1" applyAlignment="1">
      <alignment vertical="center"/>
    </xf>
    <xf numFmtId="0" fontId="15" fillId="0" borderId="0" xfId="7" applyFont="1" applyAlignment="1">
      <alignment vertical="center"/>
    </xf>
    <xf numFmtId="0" fontId="24" fillId="0" borderId="0" xfId="7" applyFont="1" applyAlignment="1">
      <alignment vertical="center"/>
    </xf>
    <xf numFmtId="0" fontId="25" fillId="0" borderId="0" xfId="7" applyFont="1" applyAlignment="1">
      <alignment vertical="center"/>
    </xf>
    <xf numFmtId="0" fontId="25" fillId="0" borderId="0" xfId="7" applyFont="1"/>
    <xf numFmtId="0" fontId="17" fillId="3" borderId="0" xfId="7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15" fillId="0" borderId="0" xfId="7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justify" vertical="center" wrapText="1"/>
    </xf>
    <xf numFmtId="0" fontId="24" fillId="0" borderId="0" xfId="7" applyFont="1" applyFill="1" applyBorder="1" applyAlignment="1">
      <alignment vertical="center"/>
    </xf>
    <xf numFmtId="0" fontId="0" fillId="0" borderId="0" xfId="0" applyFill="1"/>
    <xf numFmtId="0" fontId="11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wrapText="1"/>
    </xf>
    <xf numFmtId="0" fontId="8" fillId="0" borderId="0" xfId="2" quotePrefix="1" applyFont="1" applyFill="1" applyBorder="1" applyAlignment="1" applyProtection="1">
      <alignment vertical="top"/>
    </xf>
    <xf numFmtId="0" fontId="7" fillId="0" borderId="1" xfId="0" applyFont="1" applyFill="1" applyBorder="1" applyAlignment="1">
      <alignment horizontal="left"/>
    </xf>
    <xf numFmtId="0" fontId="27" fillId="0" borderId="0" xfId="0" applyFont="1" applyFill="1" applyBorder="1"/>
    <xf numFmtId="0" fontId="27" fillId="0" borderId="0" xfId="0" applyFont="1" applyFill="1" applyBorder="1" applyAlignment="1">
      <alignment vertical="center"/>
    </xf>
    <xf numFmtId="0" fontId="28" fillId="0" borderId="1" xfId="0" applyFont="1" applyFill="1" applyBorder="1" applyAlignment="1">
      <alignment wrapText="1"/>
    </xf>
    <xf numFmtId="0" fontId="2" fillId="0" borderId="0" xfId="0" applyFont="1" applyFill="1" applyBorder="1"/>
    <xf numFmtId="3" fontId="7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0" fillId="0" borderId="1" xfId="0" applyFont="1" applyBorder="1" applyAlignment="1">
      <alignment horizontal="left" wrapText="1"/>
    </xf>
    <xf numFmtId="0" fontId="30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1" xfId="0" applyFont="1" applyFill="1" applyBorder="1" applyAlignment="1">
      <alignment horizontal="justify"/>
    </xf>
    <xf numFmtId="0" fontId="8" fillId="0" borderId="0" xfId="2" quotePrefix="1" applyFont="1" applyFill="1" applyAlignment="1" applyProtection="1">
      <alignment vertical="top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wrapText="1"/>
    </xf>
    <xf numFmtId="0" fontId="27" fillId="0" borderId="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/>
    <xf numFmtId="49" fontId="7" fillId="0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Fill="1" applyBorder="1" applyAlignment="1"/>
    <xf numFmtId="3" fontId="7" fillId="0" borderId="1" xfId="0" applyNumberFormat="1" applyFont="1" applyFill="1" applyBorder="1"/>
    <xf numFmtId="0" fontId="11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 indent="1"/>
    </xf>
    <xf numFmtId="3" fontId="7" fillId="0" borderId="1" xfId="0" quotePrefix="1" applyNumberFormat="1" applyFont="1" applyFill="1" applyBorder="1" applyAlignment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3" fontId="6" fillId="0" borderId="0" xfId="0" quotePrefix="1" applyNumberFormat="1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/>
    </xf>
    <xf numFmtId="0" fontId="16" fillId="0" borderId="0" xfId="0" applyFont="1" applyFill="1" applyBorder="1" applyAlignment="1">
      <alignment horizontal="justify" wrapText="1"/>
    </xf>
    <xf numFmtId="0" fontId="7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wrapText="1"/>
    </xf>
    <xf numFmtId="0" fontId="7" fillId="0" borderId="1" xfId="0" applyFont="1" applyFill="1" applyBorder="1"/>
    <xf numFmtId="0" fontId="4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/>
    <xf numFmtId="0" fontId="4" fillId="0" borderId="1" xfId="0" quotePrefix="1" applyFont="1" applyFill="1" applyBorder="1" applyAlignment="1">
      <alignment vertical="top" wrapText="1"/>
    </xf>
    <xf numFmtId="0" fontId="13" fillId="0" borderId="0" xfId="0" applyFont="1" applyFill="1" applyBorder="1"/>
    <xf numFmtId="0" fontId="5" fillId="0" borderId="0" xfId="0" applyFont="1" applyFill="1" applyBorder="1" applyAlignment="1">
      <alignment horizontal="justify"/>
    </xf>
    <xf numFmtId="0" fontId="6" fillId="0" borderId="1" xfId="0" quotePrefix="1" applyFont="1" applyFill="1" applyBorder="1" applyAlignment="1">
      <alignment wrapText="1"/>
    </xf>
    <xf numFmtId="0" fontId="2" fillId="0" borderId="1" xfId="0" quotePrefix="1" applyFont="1" applyFill="1" applyBorder="1"/>
    <xf numFmtId="3" fontId="7" fillId="0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6" fillId="0" borderId="1" xfId="8" applyNumberFormat="1" applyFont="1" applyFill="1" applyBorder="1" applyAlignment="1" applyProtection="1">
      <protection locked="0"/>
    </xf>
    <xf numFmtId="3" fontId="7" fillId="0" borderId="1" xfId="8" applyNumberFormat="1" applyFont="1" applyFill="1" applyBorder="1" applyAlignment="1" applyProtection="1">
      <protection locked="0"/>
    </xf>
    <xf numFmtId="3" fontId="7" fillId="0" borderId="1" xfId="8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justify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wrapText="1"/>
    </xf>
    <xf numFmtId="0" fontId="14" fillId="0" borderId="0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vertical="top" wrapText="1"/>
    </xf>
    <xf numFmtId="49" fontId="30" fillId="0" borderId="1" xfId="0" applyNumberFormat="1" applyFont="1" applyFill="1" applyBorder="1" applyAlignment="1">
      <alignment wrapText="1"/>
    </xf>
    <xf numFmtId="164" fontId="7" fillId="4" borderId="1" xfId="8" applyNumberFormat="1" applyFont="1" applyFill="1" applyBorder="1" applyAlignment="1" applyProtection="1">
      <alignment horizontal="center" vertical="center"/>
      <protection locked="0"/>
    </xf>
    <xf numFmtId="166" fontId="7" fillId="0" borderId="0" xfId="8" applyNumberFormat="1" applyFont="1" applyFill="1" applyBorder="1" applyAlignment="1" applyProtection="1">
      <protection locked="0"/>
    </xf>
    <xf numFmtId="0" fontId="7" fillId="4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left"/>
    </xf>
    <xf numFmtId="0" fontId="6" fillId="0" borderId="1" xfId="0" quotePrefix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7" fillId="0" borderId="0" xfId="8" applyNumberFormat="1" applyFont="1" applyFill="1" applyBorder="1" applyAlignment="1" applyProtection="1">
      <protection locked="0"/>
    </xf>
    <xf numFmtId="3" fontId="7" fillId="0" borderId="1" xfId="0" applyNumberFormat="1" applyFont="1" applyBorder="1" applyAlignment="1">
      <alignment horizontal="right"/>
    </xf>
    <xf numFmtId="0" fontId="14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3" fontId="4" fillId="0" borderId="1" xfId="0" applyNumberFormat="1" applyFont="1" applyBorder="1" applyAlignment="1">
      <alignment horizontal="right" wrapText="1"/>
    </xf>
    <xf numFmtId="3" fontId="4" fillId="0" borderId="4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7" fillId="0" borderId="1" xfId="0" quotePrefix="1" applyNumberFormat="1" applyFont="1" applyFill="1" applyBorder="1" applyAlignment="1">
      <alignment vertical="center"/>
    </xf>
    <xf numFmtId="3" fontId="7" fillId="0" borderId="5" xfId="0" applyNumberFormat="1" applyFont="1" applyFill="1" applyBorder="1"/>
    <xf numFmtId="3" fontId="7" fillId="0" borderId="1" xfId="0" applyNumberFormat="1" applyFont="1" applyBorder="1" applyAlignment="1">
      <alignment horizontal="right" vertical="center" wrapText="1"/>
    </xf>
    <xf numFmtId="3" fontId="2" fillId="0" borderId="1" xfId="8" applyNumberFormat="1" applyFont="1" applyFill="1" applyBorder="1" applyAlignment="1" applyProtection="1">
      <protection locked="0"/>
    </xf>
    <xf numFmtId="0" fontId="0" fillId="4" borderId="0" xfId="0" applyFill="1"/>
    <xf numFmtId="0" fontId="11" fillId="0" borderId="1" xfId="0" applyFont="1" applyFill="1" applyBorder="1" applyAlignment="1">
      <alignment wrapText="1"/>
    </xf>
    <xf numFmtId="165" fontId="7" fillId="0" borderId="0" xfId="0" applyNumberFormat="1" applyFont="1" applyFill="1" applyBorder="1"/>
    <xf numFmtId="3" fontId="7" fillId="0" borderId="1" xfId="0" applyNumberFormat="1" applyFont="1" applyBorder="1" applyAlignment="1">
      <alignment horizontal="right" vertical="center"/>
    </xf>
    <xf numFmtId="3" fontId="7" fillId="0" borderId="3" xfId="8" applyNumberFormat="1" applyFont="1" applyFill="1" applyBorder="1" applyAlignment="1" applyProtection="1">
      <protection locked="0"/>
    </xf>
    <xf numFmtId="0" fontId="30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7" fillId="0" borderId="0" xfId="7" applyFont="1" applyBorder="1" applyAlignment="1">
      <alignment wrapText="1"/>
    </xf>
    <xf numFmtId="0" fontId="4" fillId="0" borderId="7" xfId="0" applyFont="1" applyFill="1" applyBorder="1" applyAlignment="1">
      <alignment vertical="top" wrapText="1"/>
    </xf>
    <xf numFmtId="3" fontId="4" fillId="0" borderId="8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top" wrapText="1"/>
    </xf>
    <xf numFmtId="3" fontId="7" fillId="0" borderId="0" xfId="0" applyNumberFormat="1" applyFont="1" applyFill="1" applyBorder="1"/>
    <xf numFmtId="0" fontId="3" fillId="0" borderId="9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left" wrapText="1"/>
    </xf>
    <xf numFmtId="0" fontId="17" fillId="0" borderId="0" xfId="7" applyFont="1" applyFill="1" applyAlignment="1">
      <alignment vertical="center"/>
    </xf>
    <xf numFmtId="0" fontId="17" fillId="0" borderId="0" xfId="7" applyFont="1" applyAlignment="1"/>
    <xf numFmtId="0" fontId="20" fillId="0" borderId="0" xfId="2" quotePrefix="1" applyFont="1" applyBorder="1" applyAlignment="1" applyProtection="1">
      <alignment vertical="top"/>
    </xf>
    <xf numFmtId="0" fontId="17" fillId="0" borderId="0" xfId="0" applyFont="1" applyAlignment="1"/>
    <xf numFmtId="0" fontId="2" fillId="0" borderId="0" xfId="7" applyFont="1"/>
    <xf numFmtId="0" fontId="33" fillId="0" borderId="0" xfId="2" quotePrefix="1" applyFont="1" applyBorder="1" applyAlignment="1" applyProtection="1">
      <alignment vertical="top"/>
    </xf>
    <xf numFmtId="0" fontId="27" fillId="0" borderId="0" xfId="7" applyFont="1"/>
    <xf numFmtId="0" fontId="27" fillId="2" borderId="0" xfId="7" applyFont="1" applyFill="1" applyAlignment="1">
      <alignment vertical="center"/>
    </xf>
    <xf numFmtId="0" fontId="7" fillId="0" borderId="0" xfId="7" applyFont="1" applyAlignment="1">
      <alignment vertical="center"/>
    </xf>
    <xf numFmtId="49" fontId="27" fillId="0" borderId="1" xfId="7" applyNumberFormat="1" applyFont="1" applyFill="1" applyBorder="1" applyAlignment="1">
      <alignment vertical="center" wrapText="1"/>
    </xf>
    <xf numFmtId="0" fontId="27" fillId="0" borderId="0" xfId="7" applyFont="1" applyAlignment="1">
      <alignment vertical="center"/>
    </xf>
    <xf numFmtId="49" fontId="7" fillId="0" borderId="1" xfId="7" applyNumberFormat="1" applyFont="1" applyFill="1" applyBorder="1" applyAlignment="1">
      <alignment horizontal="left" vertical="center" wrapText="1"/>
    </xf>
    <xf numFmtId="0" fontId="27" fillId="0" borderId="0" xfId="7" applyFont="1" applyFill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wrapText="1"/>
    </xf>
    <xf numFmtId="49" fontId="27" fillId="0" borderId="1" xfId="7" applyNumberFormat="1" applyFont="1" applyFill="1" applyBorder="1" applyAlignment="1">
      <alignment horizontal="left" vertical="center" wrapText="1"/>
    </xf>
    <xf numFmtId="0" fontId="27" fillId="0" borderId="0" xfId="7" applyFont="1" applyFill="1" applyBorder="1" applyAlignment="1">
      <alignment wrapText="1"/>
    </xf>
    <xf numFmtId="4" fontId="27" fillId="0" borderId="0" xfId="7" applyNumberFormat="1" applyFont="1" applyFill="1" applyBorder="1" applyAlignment="1" applyProtection="1">
      <alignment wrapText="1"/>
      <protection locked="0"/>
    </xf>
    <xf numFmtId="0" fontId="27" fillId="0" borderId="0" xfId="0" applyFont="1" applyFill="1" applyBorder="1" applyAlignment="1">
      <alignment horizontal="left"/>
    </xf>
    <xf numFmtId="0" fontId="27" fillId="0" borderId="0" xfId="7" applyFont="1" applyBorder="1" applyAlignment="1">
      <alignment wrapText="1"/>
    </xf>
    <xf numFmtId="0" fontId="7" fillId="4" borderId="1" xfId="7" applyFont="1" applyFill="1" applyBorder="1" applyAlignment="1">
      <alignment horizontal="center" vertical="center" wrapText="1"/>
    </xf>
    <xf numFmtId="49" fontId="7" fillId="0" borderId="1" xfId="7" applyNumberFormat="1" applyFont="1" applyFill="1" applyBorder="1" applyAlignment="1">
      <alignment vertical="center" wrapText="1"/>
    </xf>
    <xf numFmtId="49" fontId="2" fillId="0" borderId="1" xfId="7" applyNumberFormat="1" applyFont="1" applyFill="1" applyBorder="1" applyAlignment="1">
      <alignment horizontal="center" vertical="center" wrapText="1"/>
    </xf>
    <xf numFmtId="49" fontId="11" fillId="0" borderId="1" xfId="7" applyNumberFormat="1" applyFont="1" applyFill="1" applyBorder="1" applyAlignment="1">
      <alignment horizontal="left" vertical="center" wrapText="1"/>
    </xf>
    <xf numFmtId="49" fontId="11" fillId="0" borderId="1" xfId="7" applyNumberFormat="1" applyFont="1" applyFill="1" applyBorder="1" applyAlignment="1">
      <alignment vertical="center" wrapText="1"/>
    </xf>
    <xf numFmtId="0" fontId="2" fillId="0" borderId="0" xfId="7" applyFont="1" applyFill="1" applyAlignment="1">
      <alignment vertical="center"/>
    </xf>
    <xf numFmtId="0" fontId="2" fillId="0" borderId="0" xfId="0" applyFont="1"/>
    <xf numFmtId="49" fontId="27" fillId="0" borderId="1" xfId="7" applyNumberFormat="1" applyFont="1" applyFill="1" applyBorder="1" applyAlignment="1">
      <alignment wrapText="1"/>
    </xf>
    <xf numFmtId="49" fontId="7" fillId="4" borderId="1" xfId="7" applyNumberFormat="1" applyFont="1" applyFill="1" applyBorder="1" applyAlignment="1">
      <alignment horizontal="center" vertical="center" wrapText="1"/>
    </xf>
    <xf numFmtId="49" fontId="7" fillId="4" borderId="4" xfId="7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justify" vertical="center"/>
    </xf>
    <xf numFmtId="0" fontId="27" fillId="0" borderId="0" xfId="0" applyFont="1" applyFill="1"/>
    <xf numFmtId="0" fontId="29" fillId="0" borderId="0" xfId="0" applyFont="1" applyFill="1" applyBorder="1"/>
    <xf numFmtId="0" fontId="27" fillId="0" borderId="1" xfId="0" applyFont="1" applyBorder="1" applyAlignment="1">
      <alignment horizontal="left" wrapText="1"/>
    </xf>
    <xf numFmtId="3" fontId="29" fillId="0" borderId="1" xfId="0" applyNumberFormat="1" applyFont="1" applyFill="1" applyBorder="1"/>
    <xf numFmtId="0" fontId="27" fillId="0" borderId="0" xfId="0" applyFont="1" applyAlignment="1">
      <alignment wrapText="1"/>
    </xf>
    <xf numFmtId="0" fontId="27" fillId="0" borderId="0" xfId="0" applyFont="1"/>
    <xf numFmtId="0" fontId="31" fillId="0" borderId="0" xfId="0" applyFont="1" applyFill="1" applyBorder="1" applyAlignment="1">
      <alignment wrapText="1"/>
    </xf>
    <xf numFmtId="3" fontId="2" fillId="0" borderId="1" xfId="0" applyNumberFormat="1" applyFont="1" applyFill="1" applyBorder="1"/>
    <xf numFmtId="0" fontId="11" fillId="0" borderId="0" xfId="0" applyFont="1" applyBorder="1" applyAlignment="1">
      <alignment horizontal="left" wrapText="1"/>
    </xf>
    <xf numFmtId="3" fontId="11" fillId="0" borderId="1" xfId="0" applyNumberFormat="1" applyFont="1" applyFill="1" applyBorder="1"/>
    <xf numFmtId="49" fontId="2" fillId="0" borderId="3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wrapText="1"/>
    </xf>
    <xf numFmtId="3" fontId="27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0" fontId="33" fillId="0" borderId="0" xfId="2" quotePrefix="1" applyFont="1" applyFill="1" applyAlignment="1" applyProtection="1">
      <alignment vertical="top"/>
    </xf>
    <xf numFmtId="0" fontId="2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3" fontId="27" fillId="0" borderId="1" xfId="8" applyNumberFormat="1" applyFont="1" applyFill="1" applyBorder="1" applyAlignment="1" applyProtection="1">
      <protection locked="0"/>
    </xf>
    <xf numFmtId="0" fontId="27" fillId="0" borderId="0" xfId="0" applyFont="1" applyFill="1" applyAlignment="1">
      <alignment vertical="center"/>
    </xf>
    <xf numFmtId="0" fontId="32" fillId="0" borderId="0" xfId="0" applyFont="1"/>
    <xf numFmtId="0" fontId="34" fillId="4" borderId="1" xfId="0" applyFont="1" applyFill="1" applyBorder="1" applyAlignment="1">
      <alignment horizontal="center" wrapText="1"/>
    </xf>
    <xf numFmtId="0" fontId="34" fillId="0" borderId="0" xfId="0" applyFont="1" applyAlignment="1">
      <alignment horizontal="left"/>
    </xf>
    <xf numFmtId="3" fontId="34" fillId="0" borderId="1" xfId="0" applyNumberFormat="1" applyFont="1" applyBorder="1" applyAlignment="1"/>
    <xf numFmtId="0" fontId="32" fillId="0" borderId="0" xfId="0" applyFont="1" applyAlignment="1">
      <alignment vertical="center"/>
    </xf>
    <xf numFmtId="3" fontId="32" fillId="0" borderId="1" xfId="0" applyNumberFormat="1" applyFont="1" applyBorder="1" applyAlignment="1"/>
    <xf numFmtId="0" fontId="34" fillId="4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34" fillId="4" borderId="1" xfId="0" applyFont="1" applyFill="1" applyBorder="1" applyAlignment="1">
      <alignment horizontal="center" vertical="center"/>
    </xf>
    <xf numFmtId="0" fontId="29" fillId="0" borderId="0" xfId="0" applyFont="1" applyFill="1"/>
    <xf numFmtId="0" fontId="6" fillId="0" borderId="1" xfId="0" applyFont="1" applyBorder="1" applyAlignment="1">
      <alignment horizontal="left" wrapText="1"/>
    </xf>
    <xf numFmtId="3" fontId="27" fillId="0" borderId="0" xfId="0" applyNumberFormat="1" applyFont="1" applyFill="1" applyBorder="1"/>
    <xf numFmtId="3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wrapText="1"/>
    </xf>
    <xf numFmtId="3" fontId="2" fillId="0" borderId="3" xfId="8" applyNumberFormat="1" applyFont="1" applyFill="1" applyBorder="1" applyAlignment="1" applyProtection="1">
      <protection locked="0"/>
    </xf>
    <xf numFmtId="3" fontId="27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3" fontId="11" fillId="0" borderId="1" xfId="8" applyNumberFormat="1" applyFont="1" applyFill="1" applyBorder="1" applyAlignment="1" applyProtection="1">
      <protection locked="0"/>
    </xf>
    <xf numFmtId="3" fontId="17" fillId="0" borderId="1" xfId="0" applyNumberFormat="1" applyFont="1" applyFill="1" applyBorder="1"/>
    <xf numFmtId="0" fontId="27" fillId="4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 vertical="center"/>
    </xf>
    <xf numFmtId="3" fontId="27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7" fillId="0" borderId="0" xfId="0" applyFont="1" applyBorder="1"/>
    <xf numFmtId="0" fontId="29" fillId="0" borderId="0" xfId="0" applyFont="1" applyBorder="1"/>
    <xf numFmtId="0" fontId="6" fillId="0" borderId="1" xfId="0" applyFont="1" applyFill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right" wrapText="1"/>
    </xf>
    <xf numFmtId="0" fontId="33" fillId="0" borderId="0" xfId="2" quotePrefix="1" applyFont="1" applyAlignment="1" applyProtection="1">
      <alignment vertical="top"/>
    </xf>
    <xf numFmtId="0" fontId="6" fillId="0" borderId="0" xfId="0" applyFont="1"/>
    <xf numFmtId="3" fontId="3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left" wrapText="1"/>
    </xf>
    <xf numFmtId="3" fontId="6" fillId="0" borderId="0" xfId="0" applyNumberFormat="1" applyFont="1" applyFill="1" applyBorder="1"/>
    <xf numFmtId="3" fontId="7" fillId="0" borderId="1" xfId="8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justify" vertical="center"/>
    </xf>
    <xf numFmtId="3" fontId="2" fillId="0" borderId="1" xfId="0" quotePrefix="1" applyNumberFormat="1" applyFont="1" applyFill="1" applyBorder="1" applyAlignment="1"/>
    <xf numFmtId="0" fontId="38" fillId="0" borderId="0" xfId="2" quotePrefix="1" applyFont="1" applyFill="1" applyAlignment="1" applyProtection="1">
      <alignment vertical="top"/>
    </xf>
    <xf numFmtId="0" fontId="32" fillId="0" borderId="0" xfId="0" applyFont="1" applyFill="1"/>
    <xf numFmtId="0" fontId="32" fillId="0" borderId="0" xfId="0" applyFont="1" applyFill="1" applyBorder="1"/>
    <xf numFmtId="0" fontId="37" fillId="0" borderId="0" xfId="0" applyFont="1" applyFill="1" applyBorder="1"/>
    <xf numFmtId="0" fontId="34" fillId="0" borderId="0" xfId="0" applyFont="1" applyFill="1" applyBorder="1"/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1" xfId="0" applyFont="1" applyFill="1" applyBorder="1" applyAlignment="1">
      <alignment horizontal="left" vertical="center"/>
    </xf>
    <xf numFmtId="3" fontId="32" fillId="0" borderId="1" xfId="0" applyNumberFormat="1" applyFont="1" applyFill="1" applyBorder="1" applyAlignment="1">
      <alignment wrapText="1"/>
    </xf>
    <xf numFmtId="0" fontId="32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3" fontId="34" fillId="0" borderId="1" xfId="0" applyNumberFormat="1" applyFont="1" applyFill="1" applyBorder="1" applyAlignment="1"/>
    <xf numFmtId="0" fontId="34" fillId="0" borderId="0" xfId="0" applyFont="1" applyFill="1" applyBorder="1" applyAlignment="1">
      <alignment horizontal="left" vertical="center" wrapText="1"/>
    </xf>
    <xf numFmtId="3" fontId="34" fillId="0" borderId="0" xfId="0" applyNumberFormat="1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horizontal="right" wrapText="1"/>
    </xf>
    <xf numFmtId="164" fontId="34" fillId="4" borderId="1" xfId="8" applyNumberFormat="1" applyFont="1" applyFill="1" applyBorder="1" applyAlignment="1" applyProtection="1">
      <alignment horizontal="center" vertical="center" wrapText="1"/>
      <protection locked="0"/>
    </xf>
    <xf numFmtId="164" fontId="34" fillId="4" borderId="10" xfId="8" applyNumberFormat="1" applyFont="1" applyFill="1" applyBorder="1" applyAlignment="1" applyProtection="1">
      <alignment horizontal="center" vertical="center" wrapText="1"/>
      <protection locked="0"/>
    </xf>
    <xf numFmtId="164" fontId="34" fillId="4" borderId="4" xfId="8" applyNumberFormat="1" applyFont="1" applyFill="1" applyBorder="1" applyAlignment="1" applyProtection="1">
      <alignment horizontal="center" vertical="center" wrapText="1"/>
      <protection locked="0"/>
    </xf>
    <xf numFmtId="3" fontId="34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wrapText="1"/>
    </xf>
    <xf numFmtId="3" fontId="37" fillId="0" borderId="1" xfId="0" applyNumberFormat="1" applyFont="1" applyFill="1" applyBorder="1"/>
    <xf numFmtId="0" fontId="39" fillId="0" borderId="0" xfId="0" applyFont="1" applyFill="1"/>
    <xf numFmtId="0" fontId="32" fillId="0" borderId="1" xfId="0" applyFont="1" applyFill="1" applyBorder="1" applyAlignment="1">
      <alignment wrapText="1"/>
    </xf>
    <xf numFmtId="3" fontId="32" fillId="0" borderId="1" xfId="0" applyNumberFormat="1" applyFont="1" applyFill="1" applyBorder="1"/>
    <xf numFmtId="0" fontId="37" fillId="0" borderId="0" xfId="0" applyFont="1" applyFill="1"/>
    <xf numFmtId="3" fontId="34" fillId="0" borderId="5" xfId="0" applyNumberFormat="1" applyFont="1" applyFill="1" applyBorder="1" applyAlignment="1">
      <alignment vertical="center"/>
    </xf>
    <xf numFmtId="3" fontId="34" fillId="0" borderId="1" xfId="0" applyNumberFormat="1" applyFont="1" applyFill="1" applyBorder="1"/>
    <xf numFmtId="3" fontId="34" fillId="0" borderId="5" xfId="0" applyNumberFormat="1" applyFont="1" applyFill="1" applyBorder="1"/>
    <xf numFmtId="0" fontId="40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wrapText="1"/>
    </xf>
    <xf numFmtId="0" fontId="41" fillId="0" borderId="0" xfId="0" applyFont="1"/>
    <xf numFmtId="0" fontId="42" fillId="0" borderId="0" xfId="0" applyFont="1" applyAlignment="1">
      <alignment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1" fillId="0" borderId="0" xfId="0" applyFont="1" applyFill="1" applyAlignment="1">
      <alignment horizontal="center"/>
    </xf>
    <xf numFmtId="0" fontId="41" fillId="0" borderId="0" xfId="0" applyFont="1" applyAlignment="1">
      <alignment wrapText="1"/>
    </xf>
    <xf numFmtId="0" fontId="40" fillId="0" borderId="0" xfId="0" applyNumberFormat="1" applyFont="1" applyFill="1" applyAlignment="1" applyProtection="1">
      <alignment horizontal="center" wrapText="1"/>
      <protection locked="0"/>
    </xf>
    <xf numFmtId="0" fontId="40" fillId="0" borderId="0" xfId="0" applyNumberFormat="1" applyFont="1" applyAlignment="1">
      <alignment horizontal="center"/>
    </xf>
    <xf numFmtId="0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19" fillId="0" borderId="0" xfId="7" applyFont="1" applyBorder="1" applyAlignment="1">
      <alignment vertical="center"/>
    </xf>
    <xf numFmtId="49" fontId="11" fillId="0" borderId="1" xfId="7" applyNumberFormat="1" applyFont="1" applyFill="1" applyBorder="1" applyAlignment="1">
      <alignment horizontal="center" vertical="center" wrapText="1"/>
    </xf>
    <xf numFmtId="0" fontId="19" fillId="0" borderId="0" xfId="7" applyFont="1" applyAlignment="1">
      <alignment vertical="center"/>
    </xf>
    <xf numFmtId="3" fontId="7" fillId="0" borderId="1" xfId="7" applyNumberFormat="1" applyFont="1" applyFill="1" applyBorder="1" applyAlignment="1">
      <alignment horizontal="right" vertical="center" wrapText="1"/>
    </xf>
    <xf numFmtId="3" fontId="27" fillId="0" borderId="1" xfId="7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7" applyNumberFormat="1" applyFont="1" applyFill="1" applyBorder="1" applyAlignment="1" applyProtection="1">
      <alignment horizontal="right" vertical="center" wrapText="1"/>
      <protection locked="0"/>
    </xf>
    <xf numFmtId="3" fontId="27" fillId="0" borderId="1" xfId="7" applyNumberFormat="1" applyFont="1" applyFill="1" applyBorder="1" applyAlignment="1">
      <alignment horizontal="right" vertical="center" wrapText="1"/>
    </xf>
    <xf numFmtId="3" fontId="11" fillId="0" borderId="1" xfId="7" applyNumberFormat="1" applyFont="1" applyFill="1" applyBorder="1" applyAlignment="1">
      <alignment horizontal="right" vertical="center" wrapText="1"/>
    </xf>
    <xf numFmtId="3" fontId="2" fillId="0" borderId="1" xfId="7" applyNumberFormat="1" applyFont="1" applyFill="1" applyBorder="1" applyAlignment="1">
      <alignment horizontal="right" vertical="center" wrapText="1"/>
    </xf>
    <xf numFmtId="3" fontId="11" fillId="0" borderId="1" xfId="7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0" applyNumberFormat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 applyProtection="1">
      <alignment horizontal="right" vertical="center"/>
    </xf>
    <xf numFmtId="3" fontId="27" fillId="0" borderId="1" xfId="0" applyNumberFormat="1" applyFont="1" applyFill="1" applyBorder="1" applyAlignment="1" applyProtection="1">
      <alignment horizontal="left" vertical="center"/>
    </xf>
    <xf numFmtId="3" fontId="27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left" vertical="center"/>
    </xf>
    <xf numFmtId="3" fontId="27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7" fillId="0" borderId="1" xfId="7" applyNumberFormat="1" applyFont="1" applyFill="1" applyBorder="1" applyAlignment="1">
      <alignment horizontal="right" vertical="center"/>
    </xf>
    <xf numFmtId="3" fontId="2" fillId="0" borderId="1" xfId="7" applyNumberFormat="1" applyFont="1" applyFill="1" applyBorder="1" applyAlignment="1">
      <alignment horizontal="right" vertical="center"/>
    </xf>
    <xf numFmtId="3" fontId="27" fillId="0" borderId="1" xfId="7" applyNumberFormat="1" applyFont="1" applyFill="1" applyBorder="1" applyAlignment="1" applyProtection="1">
      <alignment horizontal="right" vertical="center"/>
      <protection locked="0"/>
    </xf>
    <xf numFmtId="3" fontId="7" fillId="0" borderId="1" xfId="7" applyNumberFormat="1" applyFont="1" applyFill="1" applyBorder="1" applyAlignment="1">
      <alignment horizontal="left" vertical="center" wrapText="1" indent="1"/>
    </xf>
    <xf numFmtId="3" fontId="27" fillId="0" borderId="1" xfId="7" applyNumberFormat="1" applyFont="1" applyFill="1" applyBorder="1" applyAlignment="1">
      <alignment horizontal="left" vertical="center" wrapText="1" indent="1"/>
    </xf>
    <xf numFmtId="3" fontId="7" fillId="0" borderId="1" xfId="7" applyNumberFormat="1" applyFont="1" applyFill="1" applyBorder="1" applyAlignment="1">
      <alignment vertical="center" wrapText="1"/>
    </xf>
    <xf numFmtId="3" fontId="7" fillId="0" borderId="1" xfId="7" applyNumberFormat="1" applyFont="1" applyBorder="1" applyAlignment="1">
      <alignment horizontal="left" vertical="center" indent="1"/>
    </xf>
    <xf numFmtId="3" fontId="7" fillId="3" borderId="1" xfId="7" applyNumberFormat="1" applyFont="1" applyFill="1" applyBorder="1" applyAlignment="1">
      <alignment horizontal="right" vertical="center"/>
    </xf>
    <xf numFmtId="3" fontId="7" fillId="0" borderId="1" xfId="7" applyNumberFormat="1" applyFont="1" applyFill="1" applyBorder="1" applyAlignment="1" applyProtection="1">
      <alignment vertical="center" wrapText="1"/>
      <protection locked="0"/>
    </xf>
    <xf numFmtId="3" fontId="7" fillId="0" borderId="1" xfId="7" applyNumberFormat="1" applyFont="1" applyFill="1" applyBorder="1" applyAlignment="1" applyProtection="1">
      <alignment horizontal="left" vertical="center" wrapText="1"/>
    </xf>
    <xf numFmtId="3" fontId="27" fillId="0" borderId="1" xfId="7" applyNumberFormat="1" applyFont="1" applyFill="1" applyBorder="1" applyAlignment="1" applyProtection="1">
      <alignment horizontal="left" vertical="center" wrapText="1"/>
    </xf>
    <xf numFmtId="3" fontId="3" fillId="0" borderId="0" xfId="0" applyNumberFormat="1" applyFont="1" applyFill="1" applyBorder="1" applyAlignment="1">
      <alignment horizontal="left" wrapText="1" indent="3"/>
    </xf>
    <xf numFmtId="3" fontId="2" fillId="5" borderId="0" xfId="0" applyNumberFormat="1" applyFont="1" applyFill="1" applyBorder="1" applyAlignment="1">
      <alignment horizontal="right" wrapText="1"/>
    </xf>
    <xf numFmtId="3" fontId="27" fillId="5" borderId="0" xfId="0" applyNumberFormat="1" applyFont="1" applyFill="1"/>
    <xf numFmtId="3" fontId="4" fillId="5" borderId="0" xfId="0" applyNumberFormat="1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justify"/>
    </xf>
    <xf numFmtId="3" fontId="6" fillId="5" borderId="0" xfId="0" applyNumberFormat="1" applyFont="1" applyFill="1" applyBorder="1"/>
    <xf numFmtId="3" fontId="32" fillId="5" borderId="0" xfId="0" applyNumberFormat="1" applyFont="1" applyFill="1" applyBorder="1"/>
    <xf numFmtId="3" fontId="34" fillId="0" borderId="11" xfId="0" applyNumberFormat="1" applyFont="1" applyFill="1" applyBorder="1" applyAlignment="1">
      <alignment vertical="center"/>
    </xf>
    <xf numFmtId="3" fontId="32" fillId="5" borderId="0" xfId="0" applyNumberFormat="1" applyFont="1" applyFill="1"/>
    <xf numFmtId="3" fontId="32" fillId="0" borderId="0" xfId="0" applyNumberFormat="1" applyFont="1" applyFill="1"/>
    <xf numFmtId="3" fontId="7" fillId="0" borderId="11" xfId="0" applyNumberFormat="1" applyFont="1" applyFill="1" applyBorder="1"/>
    <xf numFmtId="3" fontId="27" fillId="5" borderId="0" xfId="0" applyNumberFormat="1" applyFont="1" applyFill="1" applyBorder="1"/>
    <xf numFmtId="3" fontId="2" fillId="5" borderId="0" xfId="0" applyNumberFormat="1" applyFont="1" applyFill="1" applyBorder="1"/>
    <xf numFmtId="0" fontId="11" fillId="0" borderId="0" xfId="0" applyFont="1"/>
    <xf numFmtId="3" fontId="27" fillId="0" borderId="1" xfId="8" applyNumberFormat="1" applyFont="1" applyFill="1" applyBorder="1" applyAlignment="1" applyProtection="1">
      <alignment wrapText="1"/>
      <protection locked="0"/>
    </xf>
    <xf numFmtId="49" fontId="34" fillId="0" borderId="1" xfId="0" applyNumberFormat="1" applyFont="1" applyBorder="1" applyAlignment="1">
      <alignment horizontal="left" wrapText="1"/>
    </xf>
    <xf numFmtId="49" fontId="37" fillId="0" borderId="1" xfId="0" applyNumberFormat="1" applyFont="1" applyBorder="1" applyAlignment="1">
      <alignment horizontal="left" vertical="center" wrapText="1"/>
    </xf>
    <xf numFmtId="3" fontId="37" fillId="0" borderId="1" xfId="0" applyNumberFormat="1" applyFont="1" applyBorder="1" applyAlignment="1">
      <alignment vertical="center"/>
    </xf>
    <xf numFmtId="49" fontId="36" fillId="0" borderId="1" xfId="0" applyNumberFormat="1" applyFont="1" applyBorder="1" applyAlignment="1">
      <alignment horizontal="left" wrapText="1"/>
    </xf>
    <xf numFmtId="49" fontId="35" fillId="0" borderId="1" xfId="0" applyNumberFormat="1" applyFont="1" applyBorder="1" applyAlignment="1">
      <alignment horizontal="left" wrapText="1"/>
    </xf>
    <xf numFmtId="3" fontId="7" fillId="0" borderId="0" xfId="1" applyNumberFormat="1" applyFont="1" applyFill="1" applyBorder="1" applyAlignment="1" applyProtection="1">
      <protection locked="0"/>
    </xf>
    <xf numFmtId="3" fontId="7" fillId="0" borderId="1" xfId="0" applyNumberFormat="1" applyFont="1" applyBorder="1"/>
    <xf numFmtId="3" fontId="2" fillId="5" borderId="0" xfId="0" applyNumberFormat="1" applyFont="1" applyFill="1" applyBorder="1" applyAlignment="1">
      <alignment horizontal="right" vertical="center" wrapText="1"/>
    </xf>
    <xf numFmtId="3" fontId="2" fillId="5" borderId="0" xfId="0" applyNumberFormat="1" applyFont="1" applyFill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0" fontId="2" fillId="0" borderId="1" xfId="0" applyFont="1" applyBorder="1"/>
    <xf numFmtId="3" fontId="7" fillId="0" borderId="4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3" fontId="7" fillId="0" borderId="4" xfId="0" applyNumberFormat="1" applyFont="1" applyBorder="1" applyAlignment="1">
      <alignment horizontal="right"/>
    </xf>
    <xf numFmtId="0" fontId="11" fillId="0" borderId="2" xfId="0" applyFont="1" applyBorder="1" applyAlignment="1">
      <alignment horizontal="justify" wrapText="1"/>
    </xf>
    <xf numFmtId="3" fontId="2" fillId="0" borderId="4" xfId="0" applyNumberFormat="1" applyFont="1" applyBorder="1" applyAlignment="1">
      <alignment horizontal="right"/>
    </xf>
    <xf numFmtId="0" fontId="11" fillId="0" borderId="12" xfId="0" applyFont="1" applyBorder="1" applyAlignment="1">
      <alignment horizontal="left" wrapText="1"/>
    </xf>
    <xf numFmtId="3" fontId="2" fillId="0" borderId="4" xfId="0" applyNumberFormat="1" applyFont="1" applyFill="1" applyBorder="1"/>
    <xf numFmtId="3" fontId="17" fillId="0" borderId="0" xfId="7" applyNumberFormat="1" applyFont="1"/>
    <xf numFmtId="3" fontId="22" fillId="0" borderId="8" xfId="7" applyNumberFormat="1" applyFont="1" applyFill="1" applyBorder="1" applyAlignment="1">
      <alignment vertical="center" wrapText="1"/>
    </xf>
    <xf numFmtId="3" fontId="7" fillId="4" borderId="1" xfId="7" applyNumberFormat="1" applyFont="1" applyFill="1" applyBorder="1" applyAlignment="1">
      <alignment horizontal="center" vertical="center" wrapText="1"/>
    </xf>
    <xf numFmtId="3" fontId="17" fillId="0" borderId="0" xfId="7" applyNumberFormat="1" applyFont="1" applyFill="1" applyBorder="1" applyAlignment="1" applyProtection="1">
      <alignment wrapText="1"/>
      <protection locked="0"/>
    </xf>
    <xf numFmtId="3" fontId="25" fillId="0" borderId="0" xfId="7" applyNumberFormat="1" applyFont="1" applyFill="1" applyBorder="1" applyAlignment="1" applyProtection="1">
      <alignment wrapText="1"/>
      <protection locked="0"/>
    </xf>
    <xf numFmtId="3" fontId="26" fillId="0" borderId="0" xfId="7" applyNumberFormat="1" applyFont="1" applyFill="1" applyBorder="1" applyAlignment="1" applyProtection="1">
      <alignment wrapText="1"/>
      <protection locked="0"/>
    </xf>
    <xf numFmtId="3" fontId="0" fillId="0" borderId="0" xfId="0" applyNumberFormat="1" applyFill="1" applyAlignment="1">
      <alignment vertical="top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justify" vertical="top" wrapText="1"/>
    </xf>
    <xf numFmtId="3" fontId="0" fillId="0" borderId="0" xfId="0" applyNumberFormat="1" applyFill="1"/>
    <xf numFmtId="3" fontId="4" fillId="0" borderId="0" xfId="0" applyNumberFormat="1" applyFont="1" applyFill="1" applyBorder="1" applyAlignment="1">
      <alignment vertical="top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wrapText="1" indent="3"/>
    </xf>
    <xf numFmtId="0" fontId="7" fillId="0" borderId="3" xfId="0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4" fontId="2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wrapText="1"/>
    </xf>
    <xf numFmtId="10" fontId="2" fillId="0" borderId="1" xfId="0" applyNumberFormat="1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/>
    </xf>
    <xf numFmtId="10" fontId="7" fillId="0" borderId="1" xfId="0" applyNumberFormat="1" applyFont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right" vertical="center"/>
    </xf>
    <xf numFmtId="49" fontId="30" fillId="0" borderId="1" xfId="0" applyNumberFormat="1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wrapText="1"/>
    </xf>
    <xf numFmtId="3" fontId="7" fillId="0" borderId="0" xfId="0" applyNumberFormat="1" applyFont="1" applyBorder="1" applyAlignment="1">
      <alignment horizontal="right"/>
    </xf>
    <xf numFmtId="49" fontId="32" fillId="0" borderId="1" xfId="0" applyNumberFormat="1" applyFont="1" applyFill="1" applyBorder="1" applyAlignment="1">
      <alignment wrapText="1"/>
    </xf>
    <xf numFmtId="0" fontId="19" fillId="0" borderId="0" xfId="0" applyFont="1" applyAlignment="1">
      <alignment wrapText="1"/>
    </xf>
    <xf numFmtId="0" fontId="2" fillId="0" borderId="0" xfId="7" applyFont="1" applyBorder="1"/>
    <xf numFmtId="0" fontId="27" fillId="0" borderId="0" xfId="7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0" fontId="27" fillId="0" borderId="1" xfId="7" applyFont="1" applyFill="1" applyBorder="1" applyAlignment="1">
      <alignment wrapText="1"/>
    </xf>
    <xf numFmtId="0" fontId="27" fillId="0" borderId="0" xfId="7" applyFont="1" applyBorder="1"/>
    <xf numFmtId="0" fontId="11" fillId="0" borderId="0" xfId="7" applyFont="1" applyBorder="1"/>
    <xf numFmtId="0" fontId="7" fillId="0" borderId="0" xfId="7" applyFont="1" applyBorder="1"/>
    <xf numFmtId="0" fontId="46" fillId="0" borderId="0" xfId="0" applyFont="1" applyAlignment="1">
      <alignment horizontal="justify"/>
    </xf>
    <xf numFmtId="0" fontId="2" fillId="0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9" fontId="7" fillId="0" borderId="1" xfId="9" applyNumberFormat="1" applyFont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3" fontId="2" fillId="5" borderId="0" xfId="0" applyNumberFormat="1" applyFont="1" applyFill="1"/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vertical="top" wrapText="1"/>
    </xf>
    <xf numFmtId="3" fontId="7" fillId="0" borderId="0" xfId="8" applyNumberFormat="1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>
      <alignment horizontal="left" indent="1"/>
    </xf>
    <xf numFmtId="3" fontId="2" fillId="0" borderId="0" xfId="0" applyNumberFormat="1" applyFont="1" applyFill="1"/>
    <xf numFmtId="49" fontId="2" fillId="0" borderId="1" xfId="8" applyNumberFormat="1" applyFont="1" applyFill="1" applyBorder="1" applyAlignment="1" applyProtection="1">
      <protection locked="0"/>
    </xf>
    <xf numFmtId="0" fontId="2" fillId="4" borderId="1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1" xfId="0" applyFont="1" applyFill="1" applyBorder="1"/>
    <xf numFmtId="49" fontId="2" fillId="0" borderId="1" xfId="7" applyNumberFormat="1" applyFont="1" applyFill="1" applyBorder="1" applyAlignment="1">
      <alignment horizontal="left" vertical="center" wrapText="1"/>
    </xf>
    <xf numFmtId="49" fontId="17" fillId="0" borderId="0" xfId="7" applyNumberFormat="1" applyFont="1"/>
    <xf numFmtId="49" fontId="17" fillId="0" borderId="0" xfId="7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left"/>
    </xf>
    <xf numFmtId="49" fontId="17" fillId="0" borderId="0" xfId="7" applyNumberFormat="1" applyFont="1" applyBorder="1" applyAlignment="1">
      <alignment wrapText="1"/>
    </xf>
    <xf numFmtId="0" fontId="11" fillId="0" borderId="1" xfId="0" applyFont="1" applyFill="1" applyBorder="1" applyAlignment="1">
      <alignment horizontal="justify" wrapText="1"/>
    </xf>
    <xf numFmtId="49" fontId="2" fillId="0" borderId="1" xfId="7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wrapText="1"/>
    </xf>
    <xf numFmtId="3" fontId="7" fillId="3" borderId="2" xfId="0" applyNumberFormat="1" applyFont="1" applyFill="1" applyBorder="1" applyAlignment="1">
      <alignment vertical="center"/>
    </xf>
    <xf numFmtId="49" fontId="4" fillId="3" borderId="1" xfId="0" quotePrefix="1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3" fontId="2" fillId="3" borderId="0" xfId="0" applyNumberFormat="1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7" fillId="3" borderId="1" xfId="0" applyFont="1" applyFill="1" applyBorder="1" applyAlignment="1">
      <alignment vertical="top" wrapText="1"/>
    </xf>
    <xf numFmtId="3" fontId="7" fillId="3" borderId="1" xfId="0" applyNumberFormat="1" applyFont="1" applyFill="1" applyBorder="1"/>
    <xf numFmtId="3" fontId="2" fillId="6" borderId="1" xfId="0" applyNumberFormat="1" applyFont="1" applyFill="1" applyBorder="1" applyAlignment="1">
      <alignment horizontal="right" wrapText="1"/>
    </xf>
    <xf numFmtId="3" fontId="7" fillId="6" borderId="1" xfId="0" applyNumberFormat="1" applyFont="1" applyFill="1" applyBorder="1" applyAlignment="1">
      <alignment horizontal="right" wrapText="1"/>
    </xf>
    <xf numFmtId="9" fontId="7" fillId="6" borderId="1" xfId="9" applyNumberFormat="1" applyFont="1" applyFill="1" applyBorder="1" applyAlignment="1">
      <alignment horizontal="right" wrapText="1"/>
    </xf>
    <xf numFmtId="3" fontId="3" fillId="6" borderId="1" xfId="0" applyNumberFormat="1" applyFont="1" applyFill="1" applyBorder="1" applyAlignment="1">
      <alignment horizontal="right" vertical="center" wrapText="1"/>
    </xf>
    <xf numFmtId="0" fontId="40" fillId="7" borderId="14" xfId="0" applyFont="1" applyFill="1" applyBorder="1" applyAlignment="1">
      <alignment horizontal="center" vertical="center" wrapText="1"/>
    </xf>
    <xf numFmtId="0" fontId="40" fillId="8" borderId="14" xfId="0" applyFont="1" applyFill="1" applyBorder="1" applyAlignment="1">
      <alignment horizontal="center" vertical="center"/>
    </xf>
    <xf numFmtId="0" fontId="40" fillId="7" borderId="0" xfId="0" applyNumberFormat="1" applyFont="1" applyFill="1" applyAlignment="1" applyProtection="1">
      <alignment horizontal="center"/>
      <protection locked="0"/>
    </xf>
    <xf numFmtId="0" fontId="41" fillId="8" borderId="0" xfId="0" applyFont="1" applyFill="1" applyAlignment="1">
      <alignment horizontal="center"/>
    </xf>
    <xf numFmtId="0" fontId="43" fillId="7" borderId="0" xfId="0" applyNumberFormat="1" applyFont="1" applyFill="1" applyAlignment="1" applyProtection="1">
      <alignment horizontal="center"/>
      <protection locked="0"/>
    </xf>
    <xf numFmtId="0" fontId="41" fillId="7" borderId="0" xfId="0" applyFont="1" applyFill="1" applyAlignment="1">
      <alignment horizontal="center"/>
    </xf>
    <xf numFmtId="0" fontId="43" fillId="8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vertical="center" wrapText="1"/>
    </xf>
    <xf numFmtId="0" fontId="47" fillId="0" borderId="0" xfId="0" applyFont="1" applyFill="1"/>
    <xf numFmtId="0" fontId="2" fillId="0" borderId="1" xfId="0" applyFont="1" applyBorder="1" applyAlignment="1"/>
    <xf numFmtId="0" fontId="46" fillId="0" borderId="0" xfId="0" applyFont="1" applyFill="1"/>
    <xf numFmtId="0" fontId="46" fillId="0" borderId="0" xfId="0" applyFont="1" applyFill="1" applyAlignment="1"/>
    <xf numFmtId="0" fontId="27" fillId="0" borderId="1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2" quotePrefix="1" applyFont="1" applyBorder="1" applyAlignment="1" applyProtection="1">
      <alignment vertical="top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quotePrefix="1" applyFont="1" applyFill="1"/>
    <xf numFmtId="167" fontId="2" fillId="0" borderId="0" xfId="0" applyNumberFormat="1" applyFont="1" applyFill="1"/>
    <xf numFmtId="0" fontId="2" fillId="0" borderId="0" xfId="7" applyFont="1" applyAlignment="1">
      <alignment vertical="center"/>
    </xf>
    <xf numFmtId="0" fontId="49" fillId="0" borderId="0" xfId="7" applyFont="1" applyFill="1" applyBorder="1" applyAlignment="1">
      <alignment vertical="center"/>
    </xf>
    <xf numFmtId="49" fontId="11" fillId="0" borderId="6" xfId="7" applyNumberFormat="1" applyFont="1" applyFill="1" applyBorder="1" applyAlignment="1">
      <alignment vertical="center" wrapText="1"/>
    </xf>
    <xf numFmtId="0" fontId="10" fillId="0" borderId="0" xfId="7" applyFont="1" applyFill="1" applyBorder="1" applyAlignment="1">
      <alignment vertical="center"/>
    </xf>
    <xf numFmtId="0" fontId="17" fillId="0" borderId="0" xfId="7" applyFont="1" applyFill="1" applyBorder="1" applyAlignment="1">
      <alignment vertical="center"/>
    </xf>
    <xf numFmtId="3" fontId="2" fillId="0" borderId="1" xfId="7" applyNumberFormat="1" applyFont="1" applyFill="1" applyBorder="1" applyAlignment="1" applyProtection="1">
      <alignment horizontal="right" vertical="center" wrapText="1"/>
      <protection locked="0"/>
    </xf>
    <xf numFmtId="0" fontId="46" fillId="0" borderId="0" xfId="7" applyFont="1" applyFill="1" applyBorder="1" applyAlignment="1">
      <alignment vertical="center"/>
    </xf>
    <xf numFmtId="3" fontId="11" fillId="0" borderId="1" xfId="7" applyNumberFormat="1" applyFont="1" applyFill="1" applyBorder="1" applyAlignment="1" applyProtection="1">
      <alignment wrapText="1"/>
      <protection locked="0"/>
    </xf>
    <xf numFmtId="3" fontId="27" fillId="0" borderId="1" xfId="7" applyNumberFormat="1" applyFont="1" applyFill="1" applyBorder="1" applyAlignment="1" applyProtection="1">
      <alignment wrapText="1"/>
      <protection locked="0"/>
    </xf>
    <xf numFmtId="3" fontId="7" fillId="0" borderId="1" xfId="7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3" fontId="2" fillId="0" borderId="1" xfId="7" applyNumberFormat="1" applyFont="1" applyFill="1" applyBorder="1" applyAlignment="1">
      <alignment horizontal="left" vertical="center" wrapText="1" indent="1"/>
    </xf>
    <xf numFmtId="3" fontId="2" fillId="0" borderId="1" xfId="7" applyNumberFormat="1" applyFont="1" applyFill="1" applyBorder="1" applyAlignment="1" applyProtection="1">
      <alignment vertical="center" wrapText="1"/>
      <protection locked="0"/>
    </xf>
    <xf numFmtId="3" fontId="2" fillId="0" borderId="1" xfId="7" applyNumberFormat="1" applyFont="1" applyFill="1" applyBorder="1" applyAlignment="1">
      <alignment vertical="center" wrapText="1"/>
    </xf>
    <xf numFmtId="3" fontId="2" fillId="5" borderId="0" xfId="0" applyNumberFormat="1" applyFont="1" applyFill="1" applyBorder="1" applyAlignment="1">
      <alignment vertical="top" wrapText="1"/>
    </xf>
    <xf numFmtId="0" fontId="56" fillId="0" borderId="0" xfId="0" applyFont="1" applyFill="1"/>
    <xf numFmtId="3" fontId="4" fillId="0" borderId="4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center"/>
    </xf>
    <xf numFmtId="164" fontId="7" fillId="4" borderId="1" xfId="8" applyNumberFormat="1" applyFont="1" applyFill="1" applyBorder="1" applyAlignment="1" applyProtection="1">
      <alignment horizontal="center" vertical="center" wrapText="1"/>
      <protection locked="0"/>
    </xf>
    <xf numFmtId="0" fontId="55" fillId="0" borderId="16" xfId="0" applyFont="1" applyBorder="1" applyAlignment="1">
      <alignment wrapText="1"/>
    </xf>
    <xf numFmtId="0" fontId="2" fillId="0" borderId="17" xfId="0" applyFont="1" applyBorder="1" applyAlignment="1">
      <alignment horizontal="right"/>
    </xf>
    <xf numFmtId="165" fontId="2" fillId="0" borderId="0" xfId="0" applyNumberFormat="1" applyFont="1" applyFill="1" applyBorder="1"/>
    <xf numFmtId="4" fontId="2" fillId="0" borderId="1" xfId="0" applyNumberFormat="1" applyFont="1" applyFill="1" applyBorder="1"/>
    <xf numFmtId="49" fontId="2" fillId="0" borderId="1" xfId="8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/>
    <xf numFmtId="9" fontId="2" fillId="0" borderId="1" xfId="9" applyFont="1" applyBorder="1" applyAlignment="1">
      <alignment horizontal="right"/>
    </xf>
    <xf numFmtId="3" fontId="2" fillId="0" borderId="0" xfId="0" applyNumberFormat="1" applyFont="1"/>
    <xf numFmtId="49" fontId="4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7" fillId="4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justify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Fill="1"/>
    <xf numFmtId="0" fontId="7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7" fillId="0" borderId="0" xfId="2" quotePrefix="1" applyFont="1" applyFill="1" applyAlignment="1" applyProtection="1">
      <alignment vertical="top"/>
    </xf>
    <xf numFmtId="0" fontId="1" fillId="0" borderId="0" xfId="0" applyFont="1" applyFill="1" applyAlignment="1">
      <alignment vertical="center"/>
    </xf>
    <xf numFmtId="4" fontId="2" fillId="0" borderId="1" xfId="7" applyNumberFormat="1" applyFont="1" applyFill="1" applyBorder="1" applyAlignment="1">
      <alignment horizontal="right" vertical="center" wrapText="1"/>
    </xf>
    <xf numFmtId="4" fontId="7" fillId="0" borderId="1" xfId="7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7" fillId="0" borderId="1" xfId="7" applyNumberFormat="1" applyFont="1" applyFill="1" applyBorder="1" applyAlignment="1">
      <alignment vertical="center"/>
    </xf>
    <xf numFmtId="9" fontId="7" fillId="0" borderId="1" xfId="9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7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5" xfId="1" applyNumberFormat="1" applyFont="1" applyFill="1" applyBorder="1" applyAlignment="1">
      <alignment wrapText="1"/>
    </xf>
    <xf numFmtId="0" fontId="2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/>
    </xf>
    <xf numFmtId="10" fontId="29" fillId="0" borderId="1" xfId="9" applyNumberFormat="1" applyFont="1" applyFill="1" applyBorder="1"/>
    <xf numFmtId="0" fontId="7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14" fontId="43" fillId="7" borderId="0" xfId="0" applyNumberFormat="1" applyFont="1" applyFill="1" applyAlignment="1" applyProtection="1">
      <alignment horizontal="center"/>
      <protection locked="0"/>
    </xf>
    <xf numFmtId="14" fontId="7" fillId="4" borderId="1" xfId="7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4" fillId="4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/>
    <xf numFmtId="14" fontId="7" fillId="0" borderId="1" xfId="0" applyNumberFormat="1" applyFont="1" applyFill="1" applyBorder="1" applyAlignment="1">
      <alignment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vertical="center" wrapText="1"/>
    </xf>
    <xf numFmtId="49" fontId="11" fillId="3" borderId="8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10" xfId="0" applyNumberFormat="1" applyFont="1" applyBorder="1" applyAlignment="1">
      <alignment vertical="center" wrapText="1"/>
    </xf>
    <xf numFmtId="14" fontId="35" fillId="4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wrapText="1"/>
    </xf>
    <xf numFmtId="14" fontId="30" fillId="0" borderId="0" xfId="0" applyNumberFormat="1" applyFont="1" applyBorder="1" applyAlignment="1">
      <alignment horizontal="right" vertical="center"/>
    </xf>
    <xf numFmtId="14" fontId="7" fillId="0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wrapText="1"/>
    </xf>
    <xf numFmtId="3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2" fillId="0" borderId="0" xfId="0" applyFont="1" applyFill="1"/>
    <xf numFmtId="9" fontId="2" fillId="0" borderId="1" xfId="8" applyNumberFormat="1" applyFont="1" applyBorder="1"/>
    <xf numFmtId="3" fontId="3" fillId="0" borderId="2" xfId="12" applyNumberFormat="1" applyFont="1" applyBorder="1" applyAlignment="1">
      <alignment vertical="center" wrapText="1"/>
    </xf>
    <xf numFmtId="3" fontId="2" fillId="0" borderId="1" xfId="12" applyNumberFormat="1" applyFont="1" applyFill="1" applyBorder="1" applyAlignment="1">
      <alignment horizontal="right" vertical="center" wrapText="1"/>
    </xf>
    <xf numFmtId="3" fontId="4" fillId="0" borderId="1" xfId="12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wrapText="1"/>
    </xf>
    <xf numFmtId="3" fontId="2" fillId="0" borderId="4" xfId="0" applyNumberFormat="1" applyFont="1" applyFill="1" applyBorder="1" applyAlignment="1">
      <alignment vertical="center" wrapText="1"/>
    </xf>
    <xf numFmtId="0" fontId="2" fillId="0" borderId="12" xfId="0" applyFont="1" applyBorder="1"/>
    <xf numFmtId="49" fontId="7" fillId="0" borderId="1" xfId="0" applyNumberFormat="1" applyFont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0" fillId="0" borderId="1" xfId="7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/>
    <xf numFmtId="3" fontId="7" fillId="0" borderId="3" xfId="0" applyNumberFormat="1" applyFont="1" applyFill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7" fillId="9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3" fontId="4" fillId="0" borderId="4" xfId="0" applyNumberFormat="1" applyFont="1" applyFill="1" applyBorder="1" applyAlignment="1">
      <alignment vertical="top" wrapText="1"/>
    </xf>
    <xf numFmtId="3" fontId="4" fillId="0" borderId="4" xfId="0" applyNumberFormat="1" applyFont="1" applyFill="1" applyBorder="1" applyAlignment="1">
      <alignment wrapText="1"/>
    </xf>
    <xf numFmtId="3" fontId="4" fillId="11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justify"/>
    </xf>
    <xf numFmtId="3" fontId="4" fillId="0" borderId="3" xfId="0" applyNumberFormat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/>
    </xf>
    <xf numFmtId="0" fontId="3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3" fillId="4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/>
    </xf>
    <xf numFmtId="49" fontId="11" fillId="3" borderId="0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6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3" fontId="2" fillId="0" borderId="1" xfId="8" applyNumberFormat="1" applyFont="1" applyFill="1" applyBorder="1" applyAlignment="1" applyProtection="1">
      <alignment vertical="center"/>
      <protection locked="0"/>
    </xf>
    <xf numFmtId="3" fontId="2" fillId="0" borderId="0" xfId="8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justify" wrapText="1"/>
    </xf>
    <xf numFmtId="10" fontId="2" fillId="0" borderId="1" xfId="9" applyNumberFormat="1" applyFont="1" applyFill="1" applyBorder="1" applyAlignment="1" applyProtection="1">
      <protection locked="0"/>
    </xf>
    <xf numFmtId="10" fontId="7" fillId="0" borderId="1" xfId="9" applyNumberFormat="1" applyFont="1" applyFill="1" applyBorder="1"/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3" fontId="2" fillId="0" borderId="2" xfId="8" applyNumberFormat="1" applyFont="1" applyFill="1" applyBorder="1" applyAlignment="1" applyProtection="1">
      <protection locked="0"/>
    </xf>
    <xf numFmtId="3" fontId="7" fillId="0" borderId="2" xfId="8" applyNumberFormat="1" applyFont="1" applyFill="1" applyBorder="1" applyAlignment="1" applyProtection="1">
      <protection locked="0"/>
    </xf>
    <xf numFmtId="3" fontId="4" fillId="0" borderId="1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10" fontId="7" fillId="0" borderId="1" xfId="9" applyNumberFormat="1" applyFont="1" applyFill="1" applyBorder="1" applyAlignment="1">
      <alignment horizontal="right"/>
    </xf>
    <xf numFmtId="0" fontId="59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9" fontId="7" fillId="0" borderId="0" xfId="9" applyFont="1" applyFill="1" applyBorder="1" applyAlignment="1">
      <alignment horizontal="right" vertical="center" wrapText="1"/>
    </xf>
    <xf numFmtId="14" fontId="7" fillId="4" borderId="1" xfId="7" quotePrefix="1" applyNumberFormat="1" applyFont="1" applyFill="1" applyBorder="1" applyAlignment="1">
      <alignment horizontal="center" vertical="center" wrapText="1"/>
    </xf>
    <xf numFmtId="0" fontId="7" fillId="12" borderId="18" xfId="0" applyFont="1" applyFill="1" applyBorder="1" applyAlignment="1">
      <alignment horizontal="center" vertical="center" wrapText="1"/>
    </xf>
    <xf numFmtId="0" fontId="54" fillId="12" borderId="19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11" fillId="0" borderId="16" xfId="0" applyFont="1" applyBorder="1" applyAlignment="1">
      <alignment horizontal="left" vertical="center" wrapText="1"/>
    </xf>
    <xf numFmtId="3" fontId="11" fillId="0" borderId="17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left" vertical="center" wrapText="1"/>
    </xf>
    <xf numFmtId="3" fontId="7" fillId="0" borderId="21" xfId="0" applyNumberFormat="1" applyFont="1" applyBorder="1" applyAlignment="1">
      <alignment horizontal="right" vertical="center"/>
    </xf>
    <xf numFmtId="0" fontId="7" fillId="6" borderId="0" xfId="0" applyFont="1" applyFill="1" applyBorder="1" applyAlignment="1"/>
    <xf numFmtId="0" fontId="33" fillId="0" borderId="0" xfId="2" quotePrefix="1" applyFont="1" applyBorder="1" applyAlignment="1" applyProtection="1">
      <alignment vertical="top"/>
    </xf>
    <xf numFmtId="0" fontId="2" fillId="0" borderId="0" xfId="0" applyFont="1" applyAlignment="1"/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justify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2" fillId="0" borderId="6" xfId="7" applyNumberFormat="1" applyFont="1" applyFill="1" applyBorder="1" applyAlignment="1">
      <alignment horizontal="left" vertical="center" wrapText="1"/>
    </xf>
    <xf numFmtId="49" fontId="2" fillId="0" borderId="4" xfId="7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left" wrapText="1"/>
    </xf>
    <xf numFmtId="14" fontId="7" fillId="4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justify"/>
    </xf>
    <xf numFmtId="0" fontId="28" fillId="0" borderId="6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29" fillId="0" borderId="6" xfId="0" applyFont="1" applyBorder="1" applyAlignment="1">
      <alignment wrapText="1"/>
    </xf>
    <xf numFmtId="0" fontId="29" fillId="0" borderId="4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</cellXfs>
  <cellStyles count="14">
    <cellStyle name="Dziesiętny" xfId="1" builtinId="3"/>
    <cellStyle name="Dziesiętny 2" xfId="10"/>
    <cellStyle name="Dziesiętny 3" xfId="13"/>
    <cellStyle name="Hiperłącze" xfId="2" builtinId="8"/>
    <cellStyle name="Hiperłącze 2" xfId="3"/>
    <cellStyle name="Normal_Nota Nr 1" xfId="4"/>
    <cellStyle name="Normalny" xfId="0" builtinId="0"/>
    <cellStyle name="Normalny 2" xfId="5"/>
    <cellStyle name="Normalny 3" xfId="6"/>
    <cellStyle name="Normalny 4" xfId="12"/>
    <cellStyle name="Normalny_bilans_przekształceń" xfId="7"/>
    <cellStyle name="Normalny_Pakiet informacyjny 2.2" xfId="8"/>
    <cellStyle name="Procentowy" xfId="9" builtinId="5"/>
    <cellStyle name="Procentowy 2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fal/Ustawienia%20lokalne/Temporary%20Internet%20Files/OLK19/ZAT%20Pakiet%20konsolidacyjny%2006%202006%202007%2011%2008%20N18B%20do%20uzupenien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arycki/Ustawienia%20lokalne/Temporary%20Internet%20Files/Content.Outlook/NZDZ161T/HL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pkfconsult.pl/Documents%20and%20Settings/rbarycki/Ustawienia%20lokalne/Temporary%20Internet%20Files/Content.Outlook/NZDZ161T/Noty%20do%20konsolidacji/ZAT%20Pakiet%20konsolidacyjny%2006%202006%202007%2011%2008%20N18B%20do%20uzupenien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arycki/Ustawienia%20lokalne/Temporary%20Internet%20Files/Content.Outlook/NZDZ161T/Noty%20do%20konsolidacji/ZAT%20Pakiet%20konsolidacyjny%2006%202006%202007%2011%2008%20N18B%20do%20uzupenien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pkfconsult.pl/Documents%20and%20Settings/Rafal/Ustawienia%20lokalne/Temporary%20Internet%20Files/OLK19/ZAT%20Pakiet%20konsolidacyjny%2006%202006%202007%2011%2008%20N18B%20do%20uzupenieni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_53/AppData/Local/Microsoft/Windows/INetCache/Content.Outlook/TKJJ88D9/Kopia%20Kopia%20GK%20SF%20MSSF%2031%2012_RZIS%20aktualny%20na%20dzie&#324;%2031%2007%20(00000003)%20(0000000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e_60/Desktop/GK%20SF%20MSSF%2031.12.2016%20Ag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B"/>
      <sheetName val="N11A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55">
          <cell r="BB55" t="str">
            <v>30.06.2006</v>
          </cell>
        </row>
        <row r="56">
          <cell r="BB56" t="str">
            <v>31.12.2005</v>
          </cell>
        </row>
        <row r="96">
          <cell r="BB96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>
        <row r="62">
          <cell r="BB62" t="str">
            <v xml:space="preserve"> na dzień 01.01.2006 roku</v>
          </cell>
        </row>
        <row r="63">
          <cell r="BB63" t="str">
            <v xml:space="preserve"> na dzień 30.06.2006 roku</v>
          </cell>
        </row>
        <row r="68">
          <cell r="BB68" t="str">
            <v xml:space="preserve"> na dzień 01.01.2005 roku</v>
          </cell>
        </row>
        <row r="72">
          <cell r="BB72" t="str">
            <v xml:space="preserve"> na dzień 31.12.2005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>
        <row r="58">
          <cell r="BB58" t="str">
            <v>od 01.01 do 30.06.2006</v>
          </cell>
        </row>
        <row r="59">
          <cell r="BB59" t="str">
            <v>od 01.01 do 30.06.2005</v>
          </cell>
        </row>
        <row r="60">
          <cell r="BB60" t="str">
            <v>od 01.01 do 31.12.2005</v>
          </cell>
        </row>
        <row r="67">
          <cell r="BB67" t="str">
            <v xml:space="preserve"> w okresie od 01.01 do 30.06.2006 roku</v>
          </cell>
        </row>
        <row r="74">
          <cell r="BB74" t="str">
            <v xml:space="preserve"> w okresie od 01.01 do 31.12.2005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>
        <row r="58">
          <cell r="BB58" t="str">
            <v>od 01.01 do 30.06.2006</v>
          </cell>
        </row>
        <row r="59">
          <cell r="BB59" t="str">
            <v>od 01.01 do 30.06.2005</v>
          </cell>
        </row>
        <row r="60">
          <cell r="BB60" t="str">
            <v>od 01.01 do 31.12.2005</v>
          </cell>
        </row>
        <row r="67">
          <cell r="BB67" t="str">
            <v xml:space="preserve"> w okresie od 01.01 do 30.06.2006 roku</v>
          </cell>
        </row>
        <row r="74">
          <cell r="BB74" t="str">
            <v xml:space="preserve"> w okresie od 01.01 do 31.12.2005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B"/>
      <sheetName val="N11A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96">
          <cell r="BB96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wybrane dane finansowe"/>
      <sheetName val="RZiS"/>
      <sheetName val="Skr. spr. z cał. dochodów"/>
      <sheetName val="Aktywa"/>
      <sheetName val="Pasywa"/>
      <sheetName val="ZZwK"/>
      <sheetName val="RPP"/>
      <sheetName val="NOTA 1,2 - Przychody i segmenty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 Wartość godziwa"/>
      <sheetName val="NOTA 13 -Rzeczowe aktywa trwałe"/>
      <sheetName val="NOTA 14 -Wartości niematerialne"/>
      <sheetName val="NOTA 15 - Wartość firmy"/>
      <sheetName val="NOTA 16 - Nieruchomości inwest"/>
      <sheetName val="NOTA 17 - Inwest. jedn. stow."/>
      <sheetName val="NOTA 18,19  Pozost. akt.trw"/>
      <sheetName val="NOTA 20,21,22 -Akt. fin."/>
      <sheetName val="NOTA 23 - Zapasy"/>
      <sheetName val="NOTA 24 - Umowy długoterminowe"/>
      <sheetName val="NOTA 25,26 - Należności"/>
      <sheetName val="NOTA 27 - RMK"/>
      <sheetName val="NOTA 28 - Środki pieniężne"/>
      <sheetName val="NOTA  29,30,31,32- Kapitały"/>
      <sheetName val="NOTA 33 Kredyty i pożyczki"/>
      <sheetName val="NOTA 34 Zobowiązania finansowe"/>
      <sheetName val="NOTA 35 - Zob. długoterm."/>
      <sheetName val="NOTA 36,37 - Zob. hand i pozost"/>
      <sheetName val="NOTA 38,39 - ZFŚS, Zob. warunko"/>
      <sheetName val="NOTA 40 - Leasing"/>
      <sheetName val="NOTA 41 - RMP"/>
      <sheetName val="NOTA 42,43 - Rezerwy"/>
      <sheetName val="NOTA 44 - Zarządzanie ryzykiem"/>
      <sheetName val="NOTA 45 - Instrumenty finansowe"/>
      <sheetName val="NOTA 46 - Zarządzanie kapitałem"/>
      <sheetName val="NOTA 47 Świadczenia pracownicze"/>
      <sheetName val="NOTA 48 - Podmioty powiązane"/>
      <sheetName val="NOTA 49- Wynagrodzenie kadry "/>
      <sheetName val="NOTA 50 - Sruktura zatrudnienia"/>
      <sheetName val="NOTA 52 - Aktywowane koszty"/>
      <sheetName val="NOTA 59 - Sprawozdanie skonsol."/>
      <sheetName val="NOTA 60 - Wynagrodzenie BR"/>
      <sheetName val="NOTA 61 - Objasnienia do RPP"/>
      <sheetName val="Arkusz1"/>
    </sheetNames>
    <sheetDataSet>
      <sheetData sheetId="0" refreshError="1"/>
      <sheetData sheetId="1" refreshError="1"/>
      <sheetData sheetId="2" refreshError="1">
        <row r="3">
          <cell r="D3">
            <v>25021445.289999999</v>
          </cell>
          <cell r="E3">
            <v>14544288.32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C13">
            <v>25642136.129999999</v>
          </cell>
        </row>
        <row r="182">
          <cell r="E182">
            <v>14544288.32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wybrane dane finansowe"/>
      <sheetName val="RZiS"/>
      <sheetName val="Skr. spr. z cał. dochodów"/>
      <sheetName val="Aktywa"/>
      <sheetName val="Pasywa"/>
      <sheetName val="ZZwK"/>
      <sheetName val="RPP"/>
      <sheetName val="NOTA 1,2 - Przychody i segmenty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 Wartość godziwa"/>
      <sheetName val="NOTA 13 -Rzeczowe aktywa trwałe"/>
      <sheetName val="NOTA 14 -Wartości niematerialne"/>
      <sheetName val="NOTA 15 - Wartość firmy"/>
      <sheetName val="NOTA 16 - Nieruchomości inwest"/>
      <sheetName val="NOTA 17 - Inwest. jedn. stow."/>
      <sheetName val="NOTA 18,19  Pozost. akt.trw"/>
      <sheetName val="NOTA 20,21,22 -Akt. fin."/>
      <sheetName val="NOTA 23 - Zapasy"/>
      <sheetName val="NOTA 24 - Umowy długoterminowe"/>
      <sheetName val="NOTA 25,26 - Należności"/>
      <sheetName val="NOTA 27 - RMK"/>
      <sheetName val="NOTA 28 - Środki pieniężne"/>
      <sheetName val="NOTA  29,30,31,32- Kapitały"/>
      <sheetName val="NOTA 33 Kredyty i pożyczki"/>
      <sheetName val="NOTA 34 Zobowiązania finansowe"/>
      <sheetName val="NOTA 35 - Zob. długoterm."/>
      <sheetName val="NOTA 36,37 - Zob. hand i pozost"/>
      <sheetName val="NOTA 38,39 - ZFŚS, Zob. warunko"/>
      <sheetName val="NOTA 40 - Leasing"/>
      <sheetName val="NOTA 41 - RMP"/>
      <sheetName val="NOTA 42,43 - Rezerwy"/>
      <sheetName val="NOTA 44 - Zarządzanie ryzykiem"/>
      <sheetName val="NOTA 45 - Instrumenty finansowe"/>
      <sheetName val="NOTA 46 - Zarządzanie kapitałem"/>
      <sheetName val="NOTA 47 Świadczenia pracownicze"/>
      <sheetName val="NOTA 48 - Podmioty powiązane"/>
      <sheetName val="NOTA 49- Wynagrodzenie kadry "/>
      <sheetName val="NOTA 50 - Sruktura zatrudnienia"/>
      <sheetName val="NOTA 52 - Aktywowane koszty"/>
      <sheetName val="NOTA 59 - Sprawozdanie skonsol."/>
      <sheetName val="NOTA 60 - Wynagrodzenie BR"/>
      <sheetName val="NOTA 61 - Objasnienia do RPP"/>
      <sheetName val="Arkusz1"/>
    </sheetNames>
    <sheetDataSet>
      <sheetData sheetId="0">
        <row r="7">
          <cell r="B7" t="str">
            <v>01.01.2016-31.12.2016</v>
          </cell>
        </row>
        <row r="9">
          <cell r="B9">
            <v>42735</v>
          </cell>
        </row>
        <row r="12">
          <cell r="B12" t="str">
            <v>01.01.2015-31.12.2015</v>
          </cell>
        </row>
        <row r="14">
          <cell r="B14">
            <v>42369</v>
          </cell>
        </row>
      </sheetData>
      <sheetData sheetId="1" refreshError="1"/>
      <sheetData sheetId="2">
        <row r="18">
          <cell r="D18">
            <v>553255</v>
          </cell>
          <cell r="E18">
            <v>251803</v>
          </cell>
        </row>
        <row r="19">
          <cell r="D19">
            <v>470340</v>
          </cell>
          <cell r="E19">
            <v>341588</v>
          </cell>
        </row>
      </sheetData>
      <sheetData sheetId="3" refreshError="1"/>
      <sheetData sheetId="4">
        <row r="17">
          <cell r="D17">
            <v>10201276</v>
          </cell>
        </row>
        <row r="19">
          <cell r="D19">
            <v>1275661</v>
          </cell>
          <cell r="E19">
            <v>764745</v>
          </cell>
        </row>
      </sheetData>
      <sheetData sheetId="5">
        <row r="10">
          <cell r="D10">
            <v>11844</v>
          </cell>
        </row>
      </sheetData>
      <sheetData sheetId="6" refreshError="1"/>
      <sheetData sheetId="7" refreshError="1"/>
      <sheetData sheetId="8" refreshError="1"/>
      <sheetData sheetId="9"/>
      <sheetData sheetId="10">
        <row r="32">
          <cell r="B32">
            <v>470339.98000000004</v>
          </cell>
          <cell r="C32">
            <v>341588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>
        <row r="94">
          <cell r="B94">
            <v>1275660.56</v>
          </cell>
          <cell r="C94">
            <v>764744.84</v>
          </cell>
        </row>
        <row r="109">
          <cell r="C109">
            <v>764744.84</v>
          </cell>
        </row>
      </sheetData>
      <sheetData sheetId="27" refreshError="1"/>
      <sheetData sheetId="28">
        <row r="48">
          <cell r="B48">
            <v>4224346.6900000004</v>
          </cell>
        </row>
      </sheetData>
      <sheetData sheetId="29" refreshError="1"/>
      <sheetData sheetId="30" refreshError="1"/>
      <sheetData sheetId="31">
        <row r="5">
          <cell r="B5">
            <v>92941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17"/>
  <sheetViews>
    <sheetView showGridLines="0" view="pageBreakPreview" zoomScaleNormal="75" workbookViewId="0">
      <selection activeCell="B7" sqref="B7"/>
    </sheetView>
  </sheetViews>
  <sheetFormatPr defaultColWidth="9.109375" defaultRowHeight="13.2" x14ac:dyDescent="0.25"/>
  <cols>
    <col min="1" max="1" width="51.88671875" style="356" customWidth="1"/>
    <col min="2" max="2" width="36.109375" style="360" customWidth="1"/>
    <col min="3" max="3" width="29.44140625" style="360" customWidth="1"/>
    <col min="4" max="4" width="9.109375" style="352"/>
    <col min="5" max="5" width="0" style="352" hidden="1" customWidth="1"/>
    <col min="6" max="16384" width="9.109375" style="352"/>
  </cols>
  <sheetData>
    <row r="1" spans="1:5" s="350" customFormat="1" ht="27" thickBot="1" x14ac:dyDescent="0.3">
      <c r="A1" s="349"/>
      <c r="B1" s="524" t="s">
        <v>431</v>
      </c>
      <c r="C1" s="525" t="s">
        <v>432</v>
      </c>
    </row>
    <row r="2" spans="1:5" ht="27.9" customHeight="1" x14ac:dyDescent="0.25">
      <c r="A2" s="351" t="s">
        <v>433</v>
      </c>
      <c r="B2" s="526" t="s">
        <v>745</v>
      </c>
      <c r="C2" s="527" t="s">
        <v>434</v>
      </c>
    </row>
    <row r="3" spans="1:5" ht="29.25" customHeight="1" x14ac:dyDescent="0.25">
      <c r="A3" s="353"/>
      <c r="B3" s="354"/>
      <c r="C3" s="355"/>
    </row>
    <row r="4" spans="1:5" ht="29.25" customHeight="1" x14ac:dyDescent="0.25">
      <c r="A4" s="351" t="s">
        <v>435</v>
      </c>
      <c r="B4" s="526" t="s">
        <v>746</v>
      </c>
      <c r="C4" s="527" t="s">
        <v>522</v>
      </c>
    </row>
    <row r="5" spans="1:5" x14ac:dyDescent="0.25">
      <c r="B5" s="357"/>
      <c r="C5" s="355"/>
    </row>
    <row r="6" spans="1:5" x14ac:dyDescent="0.25">
      <c r="A6" s="351" t="s">
        <v>568</v>
      </c>
      <c r="B6" s="358"/>
      <c r="C6" s="355"/>
    </row>
    <row r="7" spans="1:5" ht="13.65" customHeight="1" x14ac:dyDescent="0.25">
      <c r="A7" s="356" t="s">
        <v>5</v>
      </c>
      <c r="B7" s="528" t="s">
        <v>884</v>
      </c>
      <c r="C7" s="527" t="s">
        <v>563</v>
      </c>
    </row>
    <row r="8" spans="1:5" ht="13.65" customHeight="1" x14ac:dyDescent="0.25">
      <c r="A8" s="356" t="s">
        <v>436</v>
      </c>
      <c r="B8" s="621">
        <v>42370</v>
      </c>
      <c r="C8" s="527" t="s">
        <v>563</v>
      </c>
    </row>
    <row r="9" spans="1:5" x14ac:dyDescent="0.25">
      <c r="A9" s="356" t="s">
        <v>437</v>
      </c>
      <c r="B9" s="621">
        <v>42735</v>
      </c>
      <c r="C9" s="527" t="s">
        <v>564</v>
      </c>
    </row>
    <row r="10" spans="1:5" x14ac:dyDescent="0.25">
      <c r="B10" s="359"/>
      <c r="C10" s="355"/>
    </row>
    <row r="11" spans="1:5" x14ac:dyDescent="0.25">
      <c r="A11" s="458" t="s">
        <v>569</v>
      </c>
      <c r="B11" s="359"/>
      <c r="C11" s="355"/>
    </row>
    <row r="12" spans="1:5" x14ac:dyDescent="0.25">
      <c r="A12" s="356" t="s">
        <v>5</v>
      </c>
      <c r="B12" s="528" t="s">
        <v>851</v>
      </c>
      <c r="C12" s="527" t="s">
        <v>565</v>
      </c>
    </row>
    <row r="13" spans="1:5" x14ac:dyDescent="0.25">
      <c r="A13" s="356" t="s">
        <v>436</v>
      </c>
      <c r="B13" s="621">
        <v>42005</v>
      </c>
      <c r="C13" s="527" t="s">
        <v>566</v>
      </c>
    </row>
    <row r="14" spans="1:5" x14ac:dyDescent="0.25">
      <c r="A14" s="356" t="s">
        <v>437</v>
      </c>
      <c r="B14" s="621">
        <v>42369</v>
      </c>
      <c r="C14" s="527" t="s">
        <v>567</v>
      </c>
    </row>
    <row r="15" spans="1:5" x14ac:dyDescent="0.25">
      <c r="B15" s="359"/>
      <c r="C15" s="355"/>
    </row>
    <row r="16" spans="1:5" x14ac:dyDescent="0.25">
      <c r="A16" s="356" t="s">
        <v>443</v>
      </c>
      <c r="B16" s="529" t="s">
        <v>444</v>
      </c>
      <c r="C16" s="530" t="s">
        <v>482</v>
      </c>
      <c r="E16" s="352">
        <f>IF(C16="nie",0,IF(C16="tak",1,2))</f>
        <v>2</v>
      </c>
    </row>
    <row r="17" spans="3:3" x14ac:dyDescent="0.25">
      <c r="C17" s="361"/>
    </row>
  </sheetData>
  <phoneticPr fontId="2" type="noConversion"/>
  <pageMargins left="0.75" right="0.75" top="1" bottom="1" header="0.5" footer="0.5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0"/>
    <pageSetUpPr fitToPage="1"/>
  </sheetPr>
  <dimension ref="B1:D54"/>
  <sheetViews>
    <sheetView showGridLines="0" view="pageBreakPreview" topLeftCell="A31" zoomScaleNormal="100" zoomScaleSheetLayoutView="100" workbookViewId="0">
      <selection activeCell="A14" sqref="A14:XFD14"/>
    </sheetView>
  </sheetViews>
  <sheetFormatPr defaultColWidth="9.109375" defaultRowHeight="13.2" x14ac:dyDescent="0.25"/>
  <cols>
    <col min="1" max="1" width="3.33203125" style="45" customWidth="1"/>
    <col min="2" max="2" width="50.6640625" style="45" customWidth="1"/>
    <col min="3" max="4" width="13.6640625" style="45" customWidth="1"/>
    <col min="5" max="16384" width="9.109375" style="45"/>
  </cols>
  <sheetData>
    <row r="1" spans="2:4" x14ac:dyDescent="0.25">
      <c r="B1" s="70"/>
    </row>
    <row r="2" spans="2:4" s="149" customFormat="1" x14ac:dyDescent="0.25">
      <c r="B2" s="534" t="s">
        <v>704</v>
      </c>
    </row>
    <row r="3" spans="2:4" x14ac:dyDescent="0.25">
      <c r="B3" s="3"/>
      <c r="C3" s="3"/>
      <c r="D3" s="3"/>
    </row>
    <row r="4" spans="2:4" ht="20.399999999999999" x14ac:dyDescent="0.25">
      <c r="B4" s="144" t="s">
        <v>416</v>
      </c>
      <c r="C4" s="144" t="str">
        <f>'Dane podstawowe'!$B$7</f>
        <v>01.01.2016-31.12.2016</v>
      </c>
      <c r="D4" s="144" t="str">
        <f>'Dane podstawowe'!$B$12</f>
        <v>01.01.2015-31.12.2015</v>
      </c>
    </row>
    <row r="5" spans="2:4" x14ac:dyDescent="0.25">
      <c r="B5" s="71" t="s">
        <v>31</v>
      </c>
      <c r="C5" s="196">
        <f>RZiS!D8</f>
        <v>845188</v>
      </c>
      <c r="D5" s="196">
        <f>RZiS!E8</f>
        <v>547045</v>
      </c>
    </row>
    <row r="6" spans="2:4" x14ac:dyDescent="0.25">
      <c r="B6" s="71" t="s">
        <v>32</v>
      </c>
      <c r="C6" s="196">
        <f>RZiS!D9</f>
        <v>281942</v>
      </c>
      <c r="D6" s="196">
        <f>RZiS!E9</f>
        <v>249464</v>
      </c>
    </row>
    <row r="7" spans="2:4" x14ac:dyDescent="0.25">
      <c r="B7" s="71" t="s">
        <v>33</v>
      </c>
      <c r="C7" s="196">
        <f>RZiS!D10</f>
        <v>24336841</v>
      </c>
      <c r="D7" s="196">
        <f>RZiS!E10</f>
        <v>22181090</v>
      </c>
    </row>
    <row r="8" spans="2:4" x14ac:dyDescent="0.25">
      <c r="B8" s="71" t="s">
        <v>34</v>
      </c>
      <c r="C8" s="196">
        <f>RZiS!D11</f>
        <v>126517</v>
      </c>
      <c r="D8" s="196">
        <f>RZiS!E11</f>
        <v>73350</v>
      </c>
    </row>
    <row r="9" spans="2:4" x14ac:dyDescent="0.25">
      <c r="B9" s="71" t="s">
        <v>262</v>
      </c>
      <c r="C9" s="196">
        <f>RZiS!D12</f>
        <v>7223875</v>
      </c>
      <c r="D9" s="196">
        <f>RZiS!E12</f>
        <v>6586876</v>
      </c>
    </row>
    <row r="10" spans="2:4" x14ac:dyDescent="0.25">
      <c r="B10" s="71" t="s">
        <v>263</v>
      </c>
      <c r="C10" s="196">
        <f>RZiS!D13</f>
        <v>947184</v>
      </c>
      <c r="D10" s="196">
        <f>RZiS!E13</f>
        <v>646995</v>
      </c>
    </row>
    <row r="11" spans="2:4" x14ac:dyDescent="0.25">
      <c r="B11" s="71" t="s">
        <v>35</v>
      </c>
      <c r="C11" s="196">
        <f>RZiS!D14</f>
        <v>1851092</v>
      </c>
      <c r="D11" s="196">
        <f>RZiS!E14</f>
        <v>1638453</v>
      </c>
    </row>
    <row r="12" spans="2:4" x14ac:dyDescent="0.25">
      <c r="B12" s="71" t="s">
        <v>753</v>
      </c>
      <c r="C12" s="196">
        <f>RZiS!D15</f>
        <v>0</v>
      </c>
      <c r="D12" s="196">
        <f>RZiS!E15</f>
        <v>0</v>
      </c>
    </row>
    <row r="13" spans="2:4" x14ac:dyDescent="0.25">
      <c r="B13" s="78" t="s">
        <v>37</v>
      </c>
      <c r="C13" s="676">
        <f>SUM(C5:C12)</f>
        <v>35612639</v>
      </c>
      <c r="D13" s="676">
        <f>SUM(D5:D12)</f>
        <v>31923273</v>
      </c>
    </row>
    <row r="14" spans="2:4" x14ac:dyDescent="0.25">
      <c r="B14" s="58" t="s">
        <v>41</v>
      </c>
      <c r="C14" s="677"/>
      <c r="D14" s="196"/>
    </row>
    <row r="15" spans="2:4" ht="21" x14ac:dyDescent="0.25">
      <c r="B15" s="58" t="s">
        <v>264</v>
      </c>
      <c r="C15" s="677"/>
      <c r="D15" s="196"/>
    </row>
    <row r="16" spans="2:4" x14ac:dyDescent="0.25">
      <c r="B16" s="58" t="s">
        <v>265</v>
      </c>
      <c r="C16" s="678"/>
      <c r="D16" s="196"/>
    </row>
    <row r="17" spans="2:4" x14ac:dyDescent="0.25">
      <c r="B17" s="58" t="s">
        <v>266</v>
      </c>
      <c r="C17" s="677"/>
      <c r="D17" s="104"/>
    </row>
    <row r="18" spans="2:4" x14ac:dyDescent="0.25">
      <c r="B18" s="79" t="s">
        <v>122</v>
      </c>
      <c r="C18" s="676">
        <f>SUM(C13:C17)</f>
        <v>35612639</v>
      </c>
      <c r="D18" s="676">
        <f>SUM(D13:D17)</f>
        <v>31923273</v>
      </c>
    </row>
    <row r="19" spans="2:4" x14ac:dyDescent="0.25">
      <c r="B19" s="74"/>
      <c r="C19" s="394">
        <f>RZiS!D7-'NOTA 3 - Koszty rodzajowe'!C18</f>
        <v>0</v>
      </c>
      <c r="D19" s="394">
        <f>RZiS!E7-'NOTA 3 - Koszty rodzajowe'!D18</f>
        <v>0</v>
      </c>
    </row>
    <row r="20" spans="2:4" x14ac:dyDescent="0.25">
      <c r="B20" s="3"/>
      <c r="C20" s="3"/>
      <c r="D20" s="3"/>
    </row>
    <row r="21" spans="2:4" x14ac:dyDescent="0.25">
      <c r="B21" s="46" t="s">
        <v>526</v>
      </c>
      <c r="C21" s="3"/>
      <c r="D21" s="3"/>
    </row>
    <row r="22" spans="2:4" x14ac:dyDescent="0.25">
      <c r="B22" s="46"/>
      <c r="C22" s="3"/>
      <c r="D22" s="3"/>
    </row>
    <row r="23" spans="2:4" ht="20.399999999999999" x14ac:dyDescent="0.25">
      <c r="B23" s="607" t="s">
        <v>416</v>
      </c>
      <c r="C23" s="619" t="str">
        <f>'Dane podstawowe'!$B$7</f>
        <v>01.01.2016-31.12.2016</v>
      </c>
      <c r="D23" s="619" t="str">
        <f>'Dane podstawowe'!$B$12</f>
        <v>01.01.2015-31.12.2015</v>
      </c>
    </row>
    <row r="24" spans="2:4" x14ac:dyDescent="0.25">
      <c r="B24" s="75" t="s">
        <v>42</v>
      </c>
      <c r="C24" s="105">
        <f>SUM(C25:C28)</f>
        <v>845188</v>
      </c>
      <c r="D24" s="105">
        <f>SUM(D25:D28)</f>
        <v>547045</v>
      </c>
    </row>
    <row r="25" spans="2:4" x14ac:dyDescent="0.25">
      <c r="B25" s="76" t="s">
        <v>43</v>
      </c>
      <c r="C25" s="196">
        <v>628517</v>
      </c>
      <c r="D25" s="196">
        <v>158915</v>
      </c>
    </row>
    <row r="26" spans="2:4" x14ac:dyDescent="0.25">
      <c r="B26" s="76" t="s">
        <v>45</v>
      </c>
      <c r="C26" s="196">
        <v>216671</v>
      </c>
      <c r="D26" s="196">
        <v>388130</v>
      </c>
    </row>
    <row r="27" spans="2:4" x14ac:dyDescent="0.25">
      <c r="B27" s="76" t="s">
        <v>44</v>
      </c>
      <c r="C27" s="196"/>
      <c r="D27" s="196"/>
    </row>
    <row r="28" spans="2:4" x14ac:dyDescent="0.25">
      <c r="B28" s="76" t="s">
        <v>551</v>
      </c>
      <c r="C28" s="196"/>
      <c r="D28" s="196"/>
    </row>
    <row r="29" spans="2:4" x14ac:dyDescent="0.25">
      <c r="B29" s="75" t="s">
        <v>39</v>
      </c>
      <c r="C29" s="105">
        <f>SUM(C30:C33)</f>
        <v>0</v>
      </c>
      <c r="D29" s="105">
        <f>SUM(D30:D33)</f>
        <v>0</v>
      </c>
    </row>
    <row r="30" spans="2:4" x14ac:dyDescent="0.25">
      <c r="B30" s="76" t="s">
        <v>43</v>
      </c>
      <c r="C30" s="196"/>
      <c r="D30" s="196"/>
    </row>
    <row r="31" spans="2:4" x14ac:dyDescent="0.25">
      <c r="B31" s="76" t="s">
        <v>45</v>
      </c>
      <c r="C31" s="104"/>
      <c r="D31" s="104"/>
    </row>
    <row r="32" spans="2:4" x14ac:dyDescent="0.25">
      <c r="B32" s="76" t="s">
        <v>44</v>
      </c>
      <c r="C32" s="104"/>
      <c r="D32" s="104"/>
    </row>
    <row r="33" spans="2:4" x14ac:dyDescent="0.25">
      <c r="B33" s="76" t="s">
        <v>551</v>
      </c>
      <c r="C33" s="104"/>
      <c r="D33" s="104"/>
    </row>
    <row r="34" spans="2:4" x14ac:dyDescent="0.25">
      <c r="B34" s="75" t="s">
        <v>46</v>
      </c>
      <c r="C34" s="105">
        <f>SUM(C35:C38)</f>
        <v>0</v>
      </c>
      <c r="D34" s="105">
        <f>SUM(D35:D38)</f>
        <v>0</v>
      </c>
    </row>
    <row r="35" spans="2:4" x14ac:dyDescent="0.25">
      <c r="B35" s="76" t="s">
        <v>43</v>
      </c>
      <c r="C35" s="105"/>
      <c r="D35" s="105"/>
    </row>
    <row r="36" spans="2:4" x14ac:dyDescent="0.25">
      <c r="B36" s="76" t="s">
        <v>45</v>
      </c>
      <c r="C36" s="105"/>
      <c r="D36" s="105"/>
    </row>
    <row r="37" spans="2:4" x14ac:dyDescent="0.25">
      <c r="B37" s="76" t="s">
        <v>44</v>
      </c>
      <c r="C37" s="105"/>
      <c r="D37" s="105"/>
    </row>
    <row r="38" spans="2:4" x14ac:dyDescent="0.25">
      <c r="B38" s="76" t="s">
        <v>551</v>
      </c>
      <c r="C38" s="196"/>
      <c r="D38" s="196"/>
    </row>
    <row r="39" spans="2:4" x14ac:dyDescent="0.25">
      <c r="B39" s="74"/>
      <c r="C39" s="679">
        <f>RZiS!D8-'NOTA 3 - Koszty rodzajowe'!C24</f>
        <v>0</v>
      </c>
      <c r="D39" s="679">
        <f>RZiS!E8-'NOTA 3 - Koszty rodzajowe'!D24</f>
        <v>0</v>
      </c>
    </row>
    <row r="40" spans="2:4" x14ac:dyDescent="0.25">
      <c r="B40" s="74"/>
      <c r="C40" s="74"/>
      <c r="D40" s="74"/>
    </row>
    <row r="41" spans="2:4" x14ac:dyDescent="0.25">
      <c r="B41" s="46" t="s">
        <v>307</v>
      </c>
      <c r="C41" s="3"/>
      <c r="D41" s="3"/>
    </row>
    <row r="42" spans="2:4" x14ac:dyDescent="0.25">
      <c r="B42" s="8"/>
      <c r="C42" s="8"/>
      <c r="D42" s="8"/>
    </row>
    <row r="43" spans="2:4" ht="20.399999999999999" x14ac:dyDescent="0.25">
      <c r="B43" s="144" t="s">
        <v>416</v>
      </c>
      <c r="C43" s="144" t="str">
        <f>'Dane podstawowe'!$B$7</f>
        <v>01.01.2016-31.12.2016</v>
      </c>
      <c r="D43" s="144" t="str">
        <f>'Dane podstawowe'!$B$12</f>
        <v>01.01.2015-31.12.2015</v>
      </c>
    </row>
    <row r="44" spans="2:4" x14ac:dyDescent="0.25">
      <c r="B44" s="76" t="s">
        <v>47</v>
      </c>
      <c r="C44" s="714">
        <f>C9</f>
        <v>7223875</v>
      </c>
      <c r="D44" s="714">
        <f>D9</f>
        <v>6586876</v>
      </c>
    </row>
    <row r="45" spans="2:4" x14ac:dyDescent="0.25">
      <c r="B45" s="76" t="s">
        <v>263</v>
      </c>
      <c r="C45" s="714">
        <f>C10</f>
        <v>947184</v>
      </c>
      <c r="D45" s="714">
        <f>D10</f>
        <v>646995</v>
      </c>
    </row>
    <row r="46" spans="2:4" x14ac:dyDescent="0.25">
      <c r="B46" s="76" t="s">
        <v>48</v>
      </c>
      <c r="C46" s="714"/>
      <c r="D46" s="714"/>
    </row>
    <row r="47" spans="2:4" x14ac:dyDescent="0.25">
      <c r="B47" s="80" t="s">
        <v>49</v>
      </c>
      <c r="C47" s="714"/>
      <c r="D47" s="714"/>
    </row>
    <row r="48" spans="2:4" x14ac:dyDescent="0.25">
      <c r="B48" s="58" t="s">
        <v>267</v>
      </c>
      <c r="C48" s="715"/>
      <c r="D48" s="714"/>
    </row>
    <row r="49" spans="2:4" x14ac:dyDescent="0.25">
      <c r="B49" s="81" t="s">
        <v>494</v>
      </c>
      <c r="C49" s="714"/>
      <c r="D49" s="714"/>
    </row>
    <row r="50" spans="2:4" x14ac:dyDescent="0.25">
      <c r="B50" s="77" t="s">
        <v>618</v>
      </c>
      <c r="C50" s="102">
        <f>SUM(C44:C49)</f>
        <v>8171059</v>
      </c>
      <c r="D50" s="102">
        <f>SUM(D44:D49)</f>
        <v>7233871</v>
      </c>
    </row>
    <row r="51" spans="2:4" x14ac:dyDescent="0.25">
      <c r="B51" s="76" t="s">
        <v>38</v>
      </c>
      <c r="C51" s="310"/>
      <c r="D51" s="310"/>
    </row>
    <row r="52" spans="2:4" x14ac:dyDescent="0.25">
      <c r="B52" s="76" t="s">
        <v>39</v>
      </c>
      <c r="C52" s="310"/>
      <c r="D52" s="310"/>
    </row>
    <row r="53" spans="2:4" x14ac:dyDescent="0.25">
      <c r="B53" s="76" t="s">
        <v>40</v>
      </c>
      <c r="C53" s="310"/>
      <c r="D53" s="310"/>
    </row>
    <row r="54" spans="2:4" x14ac:dyDescent="0.25">
      <c r="B54" s="74"/>
      <c r="C54" s="74"/>
      <c r="D54" s="74"/>
    </row>
  </sheetData>
  <phoneticPr fontId="27" type="noConversion"/>
  <pageMargins left="0.75" right="0.75" top="1" bottom="1" header="0.5" footer="0.5"/>
  <pageSetup paperSize="9"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0"/>
    <pageSetUpPr fitToPage="1"/>
  </sheetPr>
  <dimension ref="A1:D44"/>
  <sheetViews>
    <sheetView showGridLines="0" view="pageBreakPreview" zoomScale="96" zoomScaleNormal="100" zoomScaleSheetLayoutView="96" workbookViewId="0">
      <selection activeCell="A44" sqref="A44:XFD45"/>
    </sheetView>
  </sheetViews>
  <sheetFormatPr defaultColWidth="9.109375" defaultRowHeight="13.2" x14ac:dyDescent="0.25"/>
  <cols>
    <col min="1" max="1" width="45.5546875" style="45" customWidth="1"/>
    <col min="2" max="3" width="17" style="435" customWidth="1"/>
    <col min="4" max="16384" width="9.109375" style="45"/>
  </cols>
  <sheetData>
    <row r="1" spans="1:3" s="82" customFormat="1" x14ac:dyDescent="0.25">
      <c r="A1" s="51"/>
      <c r="B1" s="432"/>
      <c r="C1" s="432"/>
    </row>
    <row r="2" spans="1:3" s="56" customFormat="1" ht="10.199999999999999" x14ac:dyDescent="0.2">
      <c r="B2" s="493"/>
      <c r="C2" s="493"/>
    </row>
    <row r="3" spans="1:3" s="532" customFormat="1" x14ac:dyDescent="0.25">
      <c r="A3" s="534" t="s">
        <v>705</v>
      </c>
    </row>
    <row r="4" spans="1:3" s="56" customFormat="1" ht="10.199999999999999" x14ac:dyDescent="0.2">
      <c r="A4" s="46"/>
      <c r="B4" s="493"/>
      <c r="C4" s="493"/>
    </row>
    <row r="5" spans="1:3" s="691" customFormat="1" ht="10.199999999999999" x14ac:dyDescent="0.25">
      <c r="A5" s="689" t="s">
        <v>314</v>
      </c>
      <c r="B5" s="433" t="str">
        <f>'[7]Dane podstawowe'!$B$7</f>
        <v>01.01.2016-31.12.2016</v>
      </c>
      <c r="C5" s="433" t="str">
        <f>'[7]Dane podstawowe'!$B$12</f>
        <v>01.01.2015-31.12.2015</v>
      </c>
    </row>
    <row r="6" spans="1:3" s="56" customFormat="1" ht="10.199999999999999" x14ac:dyDescent="0.2">
      <c r="A6" s="601" t="s">
        <v>273</v>
      </c>
      <c r="B6" s="194">
        <v>0</v>
      </c>
      <c r="C6" s="194">
        <f>23</f>
        <v>23</v>
      </c>
    </row>
    <row r="7" spans="1:3" s="56" customFormat="1" ht="10.199999999999999" x14ac:dyDescent="0.2">
      <c r="A7" s="683" t="s">
        <v>274</v>
      </c>
      <c r="B7" s="194"/>
      <c r="C7" s="194"/>
    </row>
    <row r="8" spans="1:3" s="56" customFormat="1" ht="10.199999999999999" x14ac:dyDescent="0.2">
      <c r="A8" s="601" t="s">
        <v>308</v>
      </c>
      <c r="B8" s="194"/>
      <c r="C8" s="194"/>
    </row>
    <row r="9" spans="1:3" s="56" customFormat="1" ht="20.399999999999999" x14ac:dyDescent="0.2">
      <c r="A9" s="601" t="s">
        <v>309</v>
      </c>
      <c r="B9" s="194">
        <f>8801.88+12374.85+10893.23</f>
        <v>32069.96</v>
      </c>
      <c r="C9" s="194">
        <v>3381</v>
      </c>
    </row>
    <row r="10" spans="1:3" s="56" customFormat="1" ht="24.75" customHeight="1" x14ac:dyDescent="0.2">
      <c r="A10" s="87" t="s">
        <v>27</v>
      </c>
      <c r="B10" s="194"/>
      <c r="C10" s="194"/>
    </row>
    <row r="11" spans="1:3" s="56" customFormat="1" ht="10.199999999999999" x14ac:dyDescent="0.2">
      <c r="A11" s="601" t="s">
        <v>310</v>
      </c>
      <c r="B11" s="194"/>
      <c r="C11" s="194"/>
    </row>
    <row r="12" spans="1:3" s="56" customFormat="1" ht="10.199999999999999" x14ac:dyDescent="0.2">
      <c r="A12" s="601" t="s">
        <v>311</v>
      </c>
      <c r="B12" s="194">
        <f>47391+217017.66</f>
        <v>264408.66000000003</v>
      </c>
      <c r="C12" s="194">
        <f>39373+148598</f>
        <v>187971</v>
      </c>
    </row>
    <row r="13" spans="1:3" s="56" customFormat="1" ht="10.199999999999999" x14ac:dyDescent="0.2">
      <c r="A13" s="601" t="s">
        <v>417</v>
      </c>
      <c r="B13" s="194"/>
      <c r="C13" s="194"/>
    </row>
    <row r="14" spans="1:3" s="56" customFormat="1" ht="10.199999999999999" hidden="1" x14ac:dyDescent="0.2">
      <c r="A14" s="683" t="s">
        <v>346</v>
      </c>
      <c r="B14" s="194"/>
      <c r="C14" s="194"/>
    </row>
    <row r="15" spans="1:3" s="56" customFormat="1" ht="10.199999999999999" hidden="1" x14ac:dyDescent="0.2">
      <c r="A15" s="683" t="s">
        <v>346</v>
      </c>
      <c r="B15" s="194"/>
      <c r="C15" s="194"/>
    </row>
    <row r="16" spans="1:3" s="56" customFormat="1" ht="10.199999999999999" hidden="1" x14ac:dyDescent="0.2">
      <c r="A16" s="683" t="s">
        <v>346</v>
      </c>
      <c r="B16" s="194"/>
      <c r="C16" s="194"/>
    </row>
    <row r="17" spans="1:3" s="56" customFormat="1" ht="10.199999999999999" x14ac:dyDescent="0.2">
      <c r="A17" s="601" t="s">
        <v>660</v>
      </c>
      <c r="B17" s="194">
        <f>267669.38-10893.23</f>
        <v>256776.15</v>
      </c>
      <c r="C17" s="194">
        <f>1581+10564+5502+2717+40064</f>
        <v>60428</v>
      </c>
    </row>
    <row r="18" spans="1:3" s="66" customFormat="1" ht="10.199999999999999" x14ac:dyDescent="0.2">
      <c r="A18" s="86" t="s">
        <v>26</v>
      </c>
      <c r="B18" s="105">
        <f>SUM(B6:B17)</f>
        <v>553254.77</v>
      </c>
      <c r="C18" s="105">
        <f>SUM(C6:C17)</f>
        <v>251803</v>
      </c>
    </row>
    <row r="19" spans="1:3" s="56" customFormat="1" ht="10.199999999999999" x14ac:dyDescent="0.2">
      <c r="A19" s="84"/>
      <c r="B19" s="395">
        <f>[7]RZiS!D18-B18</f>
        <v>0.22999999998137355</v>
      </c>
      <c r="C19" s="395">
        <f>[7]RZiS!E18-C18</f>
        <v>0</v>
      </c>
    </row>
    <row r="20" spans="1:3" s="56" customFormat="1" ht="10.199999999999999" x14ac:dyDescent="0.2">
      <c r="A20" s="85"/>
      <c r="B20" s="434"/>
      <c r="C20" s="434"/>
    </row>
    <row r="21" spans="1:3" s="56" customFormat="1" ht="10.199999999999999" x14ac:dyDescent="0.2">
      <c r="A21" s="689" t="s">
        <v>315</v>
      </c>
      <c r="B21" s="433" t="str">
        <f>'[7]Dane podstawowe'!$B$7</f>
        <v>01.01.2016-31.12.2016</v>
      </c>
      <c r="C21" s="433" t="str">
        <f>'[7]Dane podstawowe'!$B$12</f>
        <v>01.01.2015-31.12.2015</v>
      </c>
    </row>
    <row r="22" spans="1:3" s="56" customFormat="1" ht="10.199999999999999" x14ac:dyDescent="0.2">
      <c r="A22" s="601" t="s">
        <v>275</v>
      </c>
      <c r="B22" s="194"/>
      <c r="C22" s="194"/>
    </row>
    <row r="23" spans="1:3" s="56" customFormat="1" ht="10.199999999999999" x14ac:dyDescent="0.2">
      <c r="A23" s="683" t="s">
        <v>276</v>
      </c>
      <c r="B23" s="194"/>
      <c r="C23" s="194"/>
    </row>
    <row r="24" spans="1:3" s="56" customFormat="1" ht="10.199999999999999" x14ac:dyDescent="0.2">
      <c r="A24" s="601" t="s">
        <v>581</v>
      </c>
      <c r="B24" s="650">
        <v>741893.96</v>
      </c>
      <c r="C24" s="650">
        <f>60145+103960+56081+496971-474964</f>
        <v>242193</v>
      </c>
    </row>
    <row r="25" spans="1:3" s="56" customFormat="1" ht="10.199999999999999" x14ac:dyDescent="0.2">
      <c r="A25" s="601" t="s">
        <v>312</v>
      </c>
      <c r="B25" s="194">
        <v>73895</v>
      </c>
      <c r="C25" s="194">
        <v>10000</v>
      </c>
    </row>
    <row r="26" spans="1:3" s="56" customFormat="1" ht="12" customHeight="1" x14ac:dyDescent="0.2">
      <c r="A26" s="601" t="s">
        <v>313</v>
      </c>
      <c r="B26" s="194"/>
      <c r="C26" s="194"/>
    </row>
    <row r="27" spans="1:3" s="56" customFormat="1" ht="20.399999999999999" x14ac:dyDescent="0.2">
      <c r="A27" s="89" t="s">
        <v>28</v>
      </c>
      <c r="B27" s="194"/>
      <c r="C27" s="194"/>
    </row>
    <row r="28" spans="1:3" s="56" customFormat="1" ht="10.199999999999999" x14ac:dyDescent="0.2">
      <c r="A28" s="683" t="s">
        <v>756</v>
      </c>
      <c r="B28" s="194">
        <v>0</v>
      </c>
      <c r="C28" s="194">
        <v>11130</v>
      </c>
    </row>
    <row r="29" spans="1:3" s="56" customFormat="1" ht="10.199999999999999" x14ac:dyDescent="0.2">
      <c r="A29" s="683" t="s">
        <v>754</v>
      </c>
      <c r="B29" s="194"/>
      <c r="C29" s="194"/>
    </row>
    <row r="30" spans="1:3" s="56" customFormat="1" ht="10.199999999999999" x14ac:dyDescent="0.2">
      <c r="A30" s="683" t="s">
        <v>755</v>
      </c>
      <c r="B30" s="194">
        <v>15950.15</v>
      </c>
      <c r="C30" s="194">
        <f>15869+41837</f>
        <v>57706</v>
      </c>
    </row>
    <row r="31" spans="1:3" s="56" customFormat="1" ht="10.199999999999999" x14ac:dyDescent="0.2">
      <c r="A31" s="601" t="s">
        <v>660</v>
      </c>
      <c r="B31" s="194">
        <v>113565</v>
      </c>
      <c r="C31" s="194">
        <f>2690+2080+180+14329+1110+170</f>
        <v>20559</v>
      </c>
    </row>
    <row r="32" spans="1:3" s="66" customFormat="1" ht="10.199999999999999" x14ac:dyDescent="0.2">
      <c r="A32" s="88" t="s">
        <v>26</v>
      </c>
      <c r="B32" s="105">
        <f>SUM(B22:B31)</f>
        <v>945304.11</v>
      </c>
      <c r="C32" s="105">
        <f>SUM(C22:C31)</f>
        <v>341588</v>
      </c>
    </row>
    <row r="33" spans="1:4" s="66" customFormat="1" ht="10.199999999999999" x14ac:dyDescent="0.2">
      <c r="A33" s="13"/>
      <c r="B33" s="559">
        <f>[7]RZiS!D19-'[7]NOTA 4 - PPO i PKO'!B32</f>
        <v>1.9999999960418791E-2</v>
      </c>
      <c r="C33" s="395">
        <f>[7]RZiS!E19-'[7]NOTA 4 - PPO i PKO'!C32</f>
        <v>0</v>
      </c>
    </row>
    <row r="35" spans="1:4" x14ac:dyDescent="0.25">
      <c r="A35" s="687" t="s">
        <v>316</v>
      </c>
      <c r="B35" s="433" t="str">
        <f>'[7]Dane podstawowe'!$B$7</f>
        <v>01.01.2016-31.12.2016</v>
      </c>
      <c r="C35" s="433" t="str">
        <f>'[7]Dane podstawowe'!$B$12</f>
        <v>01.01.2015-31.12.2015</v>
      </c>
    </row>
    <row r="36" spans="1:4" x14ac:dyDescent="0.25">
      <c r="A36" s="683" t="s">
        <v>616</v>
      </c>
      <c r="B36" s="108"/>
      <c r="C36" s="108"/>
    </row>
    <row r="37" spans="1:4" x14ac:dyDescent="0.25">
      <c r="A37" s="683" t="s">
        <v>967</v>
      </c>
      <c r="B37" s="108">
        <f>B24</f>
        <v>741893.96</v>
      </c>
      <c r="C37" s="108">
        <f>C24</f>
        <v>242193</v>
      </c>
      <c r="D37" s="560"/>
    </row>
    <row r="38" spans="1:4" x14ac:dyDescent="0.25">
      <c r="A38" s="683" t="s">
        <v>615</v>
      </c>
      <c r="B38" s="108"/>
      <c r="C38" s="108"/>
    </row>
    <row r="39" spans="1:4" x14ac:dyDescent="0.25">
      <c r="A39" s="683" t="s">
        <v>659</v>
      </c>
      <c r="B39" s="108"/>
      <c r="C39" s="108"/>
    </row>
    <row r="40" spans="1:4" x14ac:dyDescent="0.25">
      <c r="A40" s="683" t="s">
        <v>6</v>
      </c>
      <c r="B40" s="108"/>
      <c r="C40" s="108"/>
    </row>
    <row r="41" spans="1:4" x14ac:dyDescent="0.25">
      <c r="A41" s="683" t="s">
        <v>58</v>
      </c>
      <c r="B41" s="108"/>
      <c r="C41" s="108"/>
    </row>
    <row r="42" spans="1:4" x14ac:dyDescent="0.25">
      <c r="A42" s="684" t="s">
        <v>26</v>
      </c>
      <c r="B42" s="57">
        <f>SUM(B36:B41)</f>
        <v>741893.96</v>
      </c>
      <c r="C42" s="57">
        <f>SUM(C36:C41)</f>
        <v>242193</v>
      </c>
    </row>
    <row r="44" spans="1:4" x14ac:dyDescent="0.25">
      <c r="A44" s="396"/>
    </row>
  </sheetData>
  <phoneticPr fontId="27" type="noConversion"/>
  <pageMargins left="0.7" right="0.7" top="0.75" bottom="0.75" header="0.3" footer="0.3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0"/>
  </sheetPr>
  <dimension ref="A1:C35"/>
  <sheetViews>
    <sheetView showGridLines="0" view="pageBreakPreview" zoomScaleNormal="100" zoomScaleSheetLayoutView="100" workbookViewId="0">
      <selection activeCell="A38" sqref="A38:XFD80"/>
    </sheetView>
  </sheetViews>
  <sheetFormatPr defaultColWidth="9.109375" defaultRowHeight="13.2" x14ac:dyDescent="0.25"/>
  <cols>
    <col min="1" max="1" width="42" style="45" customWidth="1"/>
    <col min="2" max="3" width="16.5546875" style="435" customWidth="1"/>
    <col min="4" max="9" width="16.5546875" style="45" customWidth="1"/>
    <col min="10" max="16384" width="9.109375" style="45"/>
  </cols>
  <sheetData>
    <row r="1" spans="1:3" x14ac:dyDescent="0.25">
      <c r="A1" s="70"/>
    </row>
    <row r="2" spans="1:3" x14ac:dyDescent="0.25">
      <c r="B2" s="436"/>
      <c r="C2" s="436"/>
    </row>
    <row r="3" spans="1:3" x14ac:dyDescent="0.25">
      <c r="A3" s="534" t="s">
        <v>706</v>
      </c>
      <c r="B3" s="316"/>
      <c r="C3" s="316"/>
    </row>
    <row r="4" spans="1:3" x14ac:dyDescent="0.25">
      <c r="A4" s="534"/>
      <c r="B4" s="316"/>
      <c r="C4" s="316"/>
    </row>
    <row r="5" spans="1:3" x14ac:dyDescent="0.25">
      <c r="A5" s="175" t="s">
        <v>415</v>
      </c>
      <c r="B5" s="433" t="str">
        <f>'Dane podstawowe'!$B$7</f>
        <v>01.01.2016-31.12.2016</v>
      </c>
      <c r="C5" s="433" t="str">
        <f>'Dane podstawowe'!$B$12</f>
        <v>01.01.2015-31.12.2015</v>
      </c>
    </row>
    <row r="6" spans="1:3" x14ac:dyDescent="0.25">
      <c r="A6" s="58" t="s">
        <v>464</v>
      </c>
      <c r="B6" s="561">
        <v>34266</v>
      </c>
      <c r="C6" s="561">
        <f>27672+12238+13677-26485</f>
        <v>27102</v>
      </c>
    </row>
    <row r="7" spans="1:3" ht="21" x14ac:dyDescent="0.25">
      <c r="A7" s="58" t="s">
        <v>317</v>
      </c>
      <c r="B7" s="197"/>
      <c r="C7" s="197"/>
    </row>
    <row r="8" spans="1:3" ht="21" x14ac:dyDescent="0.25">
      <c r="A8" s="58" t="s">
        <v>318</v>
      </c>
      <c r="B8" s="197"/>
      <c r="C8" s="197"/>
    </row>
    <row r="9" spans="1:3" ht="21" x14ac:dyDescent="0.25">
      <c r="A9" s="58" t="s">
        <v>319</v>
      </c>
      <c r="B9" s="197"/>
      <c r="C9" s="197"/>
    </row>
    <row r="10" spans="1:3" x14ac:dyDescent="0.25">
      <c r="A10" s="58" t="s">
        <v>320</v>
      </c>
      <c r="B10" s="194"/>
      <c r="C10" s="194"/>
    </row>
    <row r="11" spans="1:3" x14ac:dyDescent="0.25">
      <c r="A11" s="58" t="s">
        <v>321</v>
      </c>
      <c r="B11" s="194"/>
      <c r="C11" s="194"/>
    </row>
    <row r="12" spans="1:3" x14ac:dyDescent="0.25">
      <c r="A12" s="58" t="s">
        <v>322</v>
      </c>
      <c r="B12" s="194"/>
      <c r="C12" s="194"/>
    </row>
    <row r="13" spans="1:3" x14ac:dyDescent="0.25">
      <c r="A13" s="58" t="s">
        <v>323</v>
      </c>
      <c r="B13" s="194"/>
      <c r="C13" s="194"/>
    </row>
    <row r="14" spans="1:3" x14ac:dyDescent="0.25">
      <c r="A14" s="63" t="s">
        <v>788</v>
      </c>
      <c r="B14" s="194"/>
      <c r="C14" s="194"/>
    </row>
    <row r="15" spans="1:3" hidden="1" x14ac:dyDescent="0.25">
      <c r="A15" s="63" t="s">
        <v>346</v>
      </c>
      <c r="B15" s="194"/>
      <c r="C15" s="194"/>
    </row>
    <row r="16" spans="1:3" hidden="1" x14ac:dyDescent="0.25">
      <c r="A16" s="63" t="s">
        <v>346</v>
      </c>
      <c r="B16" s="194"/>
      <c r="C16" s="194"/>
    </row>
    <row r="17" spans="1:3" x14ac:dyDescent="0.25">
      <c r="A17" s="71" t="s">
        <v>660</v>
      </c>
      <c r="B17" s="194">
        <v>52177.32</v>
      </c>
      <c r="C17" s="194">
        <f>18083+10620+16133+1296+0.51+15000</f>
        <v>61132.51</v>
      </c>
    </row>
    <row r="18" spans="1:3" x14ac:dyDescent="0.25">
      <c r="A18" s="72" t="s">
        <v>26</v>
      </c>
      <c r="B18" s="105">
        <f>SUM(B6:B17)</f>
        <v>86443.32</v>
      </c>
      <c r="C18" s="105">
        <f>SUM(C6:C17)</f>
        <v>88234.510000000009</v>
      </c>
    </row>
    <row r="19" spans="1:3" x14ac:dyDescent="0.25">
      <c r="A19" s="74"/>
      <c r="B19" s="394">
        <f>RZiS!D22-'NOTA 5 - PF i KF'!B18</f>
        <v>-0.32000000000698492</v>
      </c>
      <c r="C19" s="394">
        <f>RZiS!E22-'NOTA 5 - PF i KF'!C18</f>
        <v>0.48999999999068677</v>
      </c>
    </row>
    <row r="20" spans="1:3" x14ac:dyDescent="0.25">
      <c r="A20" s="74"/>
      <c r="B20" s="434"/>
      <c r="C20" s="434"/>
    </row>
    <row r="21" spans="1:3" x14ac:dyDescent="0.25">
      <c r="A21" s="66"/>
      <c r="B21" s="316"/>
      <c r="C21" s="316"/>
    </row>
    <row r="22" spans="1:3" x14ac:dyDescent="0.25">
      <c r="A22" s="92" t="s">
        <v>658</v>
      </c>
      <c r="B22" s="437" t="str">
        <f>'Dane podstawowe'!$B$7</f>
        <v>01.01.2016-31.12.2016</v>
      </c>
      <c r="C22" s="433" t="str">
        <f>'Dane podstawowe'!$B$12</f>
        <v>01.01.2015-31.12.2015</v>
      </c>
    </row>
    <row r="23" spans="1:3" x14ac:dyDescent="0.25">
      <c r="A23" s="58" t="s">
        <v>327</v>
      </c>
      <c r="B23" s="194">
        <v>5731</v>
      </c>
      <c r="C23" s="194">
        <f>478+0.99+928+22.41+2516.44+10+0.16+440.87+2048.2+20.37+24059.27</f>
        <v>30524.71</v>
      </c>
    </row>
    <row r="24" spans="1:3" x14ac:dyDescent="0.25">
      <c r="A24" s="58" t="s">
        <v>328</v>
      </c>
      <c r="B24" s="194"/>
      <c r="C24" s="194"/>
    </row>
    <row r="25" spans="1:3" ht="21" x14ac:dyDescent="0.25">
      <c r="A25" s="58" t="s">
        <v>329</v>
      </c>
      <c r="B25" s="194"/>
      <c r="C25" s="194"/>
    </row>
    <row r="26" spans="1:3" ht="21" x14ac:dyDescent="0.25">
      <c r="A26" s="58" t="s">
        <v>330</v>
      </c>
      <c r="B26" s="194"/>
      <c r="C26" s="194"/>
    </row>
    <row r="27" spans="1:3" x14ac:dyDescent="0.25">
      <c r="A27" s="58" t="s">
        <v>323</v>
      </c>
      <c r="B27" s="194"/>
      <c r="C27" s="194"/>
    </row>
    <row r="28" spans="1:3" x14ac:dyDescent="0.25">
      <c r="A28" s="58" t="s">
        <v>331</v>
      </c>
      <c r="B28" s="194"/>
      <c r="C28" s="194"/>
    </row>
    <row r="29" spans="1:3" x14ac:dyDescent="0.25">
      <c r="A29" s="58" t="s">
        <v>332</v>
      </c>
      <c r="B29" s="194">
        <v>109191</v>
      </c>
      <c r="C29" s="194">
        <f>338340</f>
        <v>338340</v>
      </c>
    </row>
    <row r="30" spans="1:3" hidden="1" x14ac:dyDescent="0.25">
      <c r="A30" s="63" t="s">
        <v>346</v>
      </c>
      <c r="B30" s="194"/>
      <c r="C30" s="194"/>
    </row>
    <row r="31" spans="1:3" hidden="1" x14ac:dyDescent="0.25">
      <c r="A31" s="63" t="s">
        <v>346</v>
      </c>
      <c r="B31" s="194"/>
      <c r="C31" s="194"/>
    </row>
    <row r="32" spans="1:3" hidden="1" x14ac:dyDescent="0.25">
      <c r="A32" s="63" t="s">
        <v>346</v>
      </c>
      <c r="B32" s="194"/>
      <c r="C32" s="194"/>
    </row>
    <row r="33" spans="1:3" x14ac:dyDescent="0.25">
      <c r="A33" s="91" t="s">
        <v>660</v>
      </c>
      <c r="B33" s="194">
        <v>72221</v>
      </c>
      <c r="C33" s="562">
        <f>539084+62978+18034.56+415.28+0.36+1709.53+20963.25-98148</f>
        <v>545036.9800000001</v>
      </c>
    </row>
    <row r="34" spans="1:3" x14ac:dyDescent="0.25">
      <c r="A34" s="72" t="s">
        <v>26</v>
      </c>
      <c r="B34" s="195">
        <f>SUM(B23:B33)</f>
        <v>187143</v>
      </c>
      <c r="C34" s="195">
        <f>SUM(C23:C33)</f>
        <v>913901.69000000018</v>
      </c>
    </row>
    <row r="35" spans="1:3" x14ac:dyDescent="0.25">
      <c r="B35" s="394">
        <f>RZiS!D23-'NOTA 5 - PF i KF'!B34</f>
        <v>0.11999999999534339</v>
      </c>
      <c r="C35" s="394">
        <f>RZiS!E23-'NOTA 5 - PF i KF'!C34</f>
        <v>0.30999999982304871</v>
      </c>
    </row>
  </sheetData>
  <phoneticPr fontId="27" type="noConversion"/>
  <pageMargins left="0.7" right="0.7" top="0.75" bottom="0.75" header="0.3" footer="0.3"/>
  <pageSetup paperSize="9" scale="5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0"/>
  </sheetPr>
  <dimension ref="B1:G105"/>
  <sheetViews>
    <sheetView showGridLines="0" view="pageBreakPreview" topLeftCell="A43" zoomScaleNormal="100" zoomScaleSheetLayoutView="100" workbookViewId="0">
      <selection activeCell="F71" sqref="F71"/>
    </sheetView>
  </sheetViews>
  <sheetFormatPr defaultColWidth="9.109375" defaultRowHeight="13.2" x14ac:dyDescent="0.25"/>
  <cols>
    <col min="1" max="1" width="3.33203125" style="45" customWidth="1"/>
    <col min="2" max="2" width="45" style="45" bestFit="1" customWidth="1"/>
    <col min="3" max="3" width="12.33203125" style="435" customWidth="1"/>
    <col min="4" max="4" width="14" style="435" customWidth="1"/>
    <col min="5" max="5" width="14.44140625" style="45" customWidth="1"/>
    <col min="6" max="8" width="10.5546875" style="45" customWidth="1"/>
    <col min="9" max="9" width="15.33203125" style="45" customWidth="1"/>
    <col min="10" max="16384" width="9.109375" style="45"/>
  </cols>
  <sheetData>
    <row r="1" spans="2:7" x14ac:dyDescent="0.25">
      <c r="B1" s="70"/>
    </row>
    <row r="2" spans="2:7" x14ac:dyDescent="0.25">
      <c r="C2" s="316"/>
      <c r="D2" s="316"/>
      <c r="E2" s="3"/>
      <c r="F2" s="3"/>
      <c r="G2" s="3"/>
    </row>
    <row r="3" spans="2:7" x14ac:dyDescent="0.25">
      <c r="B3" s="534" t="s">
        <v>707</v>
      </c>
      <c r="C3" s="316"/>
      <c r="D3" s="316"/>
      <c r="E3" s="3"/>
      <c r="F3" s="3"/>
      <c r="G3" s="3"/>
    </row>
    <row r="4" spans="2:7" x14ac:dyDescent="0.25">
      <c r="B4" s="46"/>
      <c r="C4" s="316"/>
      <c r="D4" s="316"/>
      <c r="E4" s="3"/>
      <c r="F4" s="3"/>
      <c r="G4" s="3"/>
    </row>
    <row r="5" spans="2:7" ht="20.399999999999999" x14ac:dyDescent="0.25">
      <c r="B5" s="144" t="s">
        <v>525</v>
      </c>
      <c r="C5" s="433" t="str">
        <f>'Dane podstawowe'!$B$7</f>
        <v>01.01.2016-31.12.2016</v>
      </c>
      <c r="D5" s="433" t="str">
        <f>'Dane podstawowe'!$B$12</f>
        <v>01.01.2015-31.12.2015</v>
      </c>
      <c r="E5" s="3"/>
      <c r="F5" s="3"/>
    </row>
    <row r="6" spans="2:7" x14ac:dyDescent="0.25">
      <c r="B6" s="72" t="s">
        <v>50</v>
      </c>
      <c r="C6" s="643">
        <f>SUM(C7:C8)</f>
        <v>922695</v>
      </c>
      <c r="D6" s="103">
        <f>SUM(D7:D8)</f>
        <v>1463159</v>
      </c>
      <c r="E6" s="3"/>
      <c r="F6" s="3"/>
    </row>
    <row r="7" spans="2:7" x14ac:dyDescent="0.25">
      <c r="B7" s="71" t="s">
        <v>277</v>
      </c>
      <c r="C7" s="455">
        <v>922695</v>
      </c>
      <c r="D7" s="455">
        <v>1463159</v>
      </c>
      <c r="E7" s="3"/>
      <c r="F7" s="3"/>
    </row>
    <row r="8" spans="2:7" x14ac:dyDescent="0.25">
      <c r="B8" s="71" t="s">
        <v>278</v>
      </c>
      <c r="C8" s="104"/>
      <c r="D8" s="104"/>
      <c r="E8" s="3"/>
      <c r="F8" s="3"/>
    </row>
    <row r="9" spans="2:7" x14ac:dyDescent="0.25">
      <c r="B9" s="72" t="s">
        <v>51</v>
      </c>
      <c r="C9" s="643">
        <f>SUM(C10:C11)</f>
        <v>334050</v>
      </c>
      <c r="D9" s="103">
        <f>SUM(D10:D11)</f>
        <v>-227214</v>
      </c>
      <c r="E9" s="3"/>
      <c r="F9" s="3"/>
    </row>
    <row r="10" spans="2:7" x14ac:dyDescent="0.25">
      <c r="B10" s="71" t="s">
        <v>52</v>
      </c>
      <c r="C10" s="104">
        <v>334050</v>
      </c>
      <c r="D10" s="104">
        <v>-227214</v>
      </c>
      <c r="E10" s="3"/>
      <c r="F10" s="3"/>
    </row>
    <row r="11" spans="2:7" x14ac:dyDescent="0.25">
      <c r="B11" s="71" t="s">
        <v>379</v>
      </c>
      <c r="C11" s="104"/>
      <c r="D11" s="104"/>
      <c r="E11" s="3"/>
      <c r="F11" s="3"/>
    </row>
    <row r="12" spans="2:7" ht="20.399999999999999" x14ac:dyDescent="0.25">
      <c r="B12" s="72" t="s">
        <v>53</v>
      </c>
      <c r="C12" s="105">
        <f>SUM(C6,C9)</f>
        <v>1256745</v>
      </c>
      <c r="D12" s="105">
        <f>SUM(D6,D9)</f>
        <v>1235945</v>
      </c>
      <c r="E12" s="3"/>
      <c r="F12" s="3"/>
    </row>
    <row r="13" spans="2:7" s="94" customFormat="1" x14ac:dyDescent="0.25">
      <c r="B13" s="13"/>
      <c r="C13" s="394">
        <f>RZiS!D27-'NOTA 6 - Podatek '!C12</f>
        <v>-0.13999999989755452</v>
      </c>
      <c r="D13" s="394">
        <f>RZiS!E27-'NOTA 6 - Podatek '!D12</f>
        <v>0</v>
      </c>
      <c r="E13" s="3"/>
      <c r="F13" s="3"/>
    </row>
    <row r="14" spans="2:7" s="94" customFormat="1" x14ac:dyDescent="0.25">
      <c r="B14" s="13"/>
      <c r="C14" s="313"/>
      <c r="D14" s="313"/>
      <c r="E14" s="3"/>
      <c r="F14" s="3"/>
    </row>
    <row r="15" spans="2:7" x14ac:dyDescent="0.25">
      <c r="B15" s="95"/>
      <c r="C15" s="438"/>
      <c r="D15" s="438"/>
      <c r="E15" s="12"/>
      <c r="F15" s="12"/>
    </row>
    <row r="16" spans="2:7" ht="30.6" x14ac:dyDescent="0.25">
      <c r="B16" s="95" t="s">
        <v>957</v>
      </c>
      <c r="C16" s="438"/>
      <c r="D16" s="438"/>
      <c r="E16" s="12"/>
      <c r="F16" s="12"/>
    </row>
    <row r="17" spans="2:6" s="96" customFormat="1" ht="20.399999999999999" x14ac:dyDescent="0.25">
      <c r="B17" s="92" t="s">
        <v>50</v>
      </c>
      <c r="C17" s="433" t="str">
        <f>'Dane podstawowe'!$B$7</f>
        <v>01.01.2016-31.12.2016</v>
      </c>
      <c r="D17" s="433" t="str">
        <f>'Dane podstawowe'!$B$12</f>
        <v>01.01.2015-31.12.2015</v>
      </c>
      <c r="E17" s="12"/>
      <c r="F17" s="12"/>
    </row>
    <row r="18" spans="2:6" x14ac:dyDescent="0.25">
      <c r="B18" s="64" t="s">
        <v>333</v>
      </c>
      <c r="C18" s="57">
        <v>4907234</v>
      </c>
      <c r="D18" s="57">
        <v>5536465</v>
      </c>
      <c r="E18" s="12"/>
      <c r="F18" s="12"/>
    </row>
    <row r="19" spans="2:6" x14ac:dyDescent="0.25">
      <c r="B19" s="63" t="s">
        <v>337</v>
      </c>
      <c r="C19" s="108">
        <v>1167</v>
      </c>
      <c r="D19" s="108">
        <v>97231</v>
      </c>
      <c r="E19" s="12"/>
      <c r="F19" s="12"/>
    </row>
    <row r="20" spans="2:6" x14ac:dyDescent="0.25">
      <c r="B20" s="63" t="s">
        <v>334</v>
      </c>
      <c r="C20" s="108">
        <v>228143</v>
      </c>
      <c r="D20" s="108">
        <v>-5261</v>
      </c>
      <c r="E20" s="12"/>
      <c r="F20" s="12"/>
    </row>
    <row r="21" spans="2:6" x14ac:dyDescent="0.25">
      <c r="B21" s="63" t="s">
        <v>335</v>
      </c>
      <c r="C21" s="108">
        <v>627441</v>
      </c>
      <c r="D21" s="108">
        <v>1037577</v>
      </c>
      <c r="E21" s="12"/>
      <c r="F21" s="12"/>
    </row>
    <row r="22" spans="2:6" x14ac:dyDescent="0.25">
      <c r="B22" s="63" t="s">
        <v>336</v>
      </c>
      <c r="C22" s="108">
        <v>845470</v>
      </c>
      <c r="D22" s="108">
        <v>3146050</v>
      </c>
      <c r="E22" s="12"/>
      <c r="F22" s="12"/>
    </row>
    <row r="23" spans="2:6" x14ac:dyDescent="0.25">
      <c r="B23" s="52" t="s">
        <v>338</v>
      </c>
      <c r="C23" s="57">
        <f>C18-C20-C21+C22+C19</f>
        <v>4898287</v>
      </c>
      <c r="D23" s="57">
        <f>D18-D20-D21+D22+D19</f>
        <v>7747430</v>
      </c>
      <c r="E23" s="12"/>
      <c r="F23" s="12"/>
    </row>
    <row r="24" spans="2:6" x14ac:dyDescent="0.25">
      <c r="B24" s="63" t="s">
        <v>339</v>
      </c>
      <c r="C24" s="108">
        <v>41995</v>
      </c>
      <c r="D24" s="108">
        <v>46591</v>
      </c>
      <c r="E24" s="12"/>
      <c r="F24" s="12"/>
    </row>
    <row r="25" spans="2:6" x14ac:dyDescent="0.25">
      <c r="B25" s="52" t="s">
        <v>340</v>
      </c>
      <c r="C25" s="57">
        <f>C23-C24</f>
        <v>4856292</v>
      </c>
      <c r="D25" s="57">
        <f>D23-D24</f>
        <v>7700839</v>
      </c>
      <c r="E25" s="12"/>
      <c r="F25" s="12"/>
    </row>
    <row r="26" spans="2:6" x14ac:dyDescent="0.25">
      <c r="B26" s="63" t="s">
        <v>341</v>
      </c>
      <c r="C26" s="108">
        <f>19%*C25</f>
        <v>922695.48</v>
      </c>
      <c r="D26" s="108">
        <f>D25*19%</f>
        <v>1463159.41</v>
      </c>
      <c r="E26" s="12"/>
      <c r="F26" s="12"/>
    </row>
    <row r="27" spans="2:6" ht="31.2" x14ac:dyDescent="0.25">
      <c r="B27" s="64" t="s">
        <v>728</v>
      </c>
      <c r="C27" s="600">
        <f>C12/C18</f>
        <v>0.25610048349029207</v>
      </c>
      <c r="D27" s="600">
        <f>D12/D18</f>
        <v>0.22323721002480826</v>
      </c>
      <c r="E27" s="12"/>
      <c r="F27" s="12"/>
    </row>
    <row r="28" spans="2:6" x14ac:dyDescent="0.25">
      <c r="B28" s="723"/>
      <c r="C28" s="724"/>
      <c r="D28" s="724"/>
      <c r="E28" s="12"/>
      <c r="F28" s="12"/>
    </row>
    <row r="29" spans="2:6" ht="21" x14ac:dyDescent="0.25">
      <c r="B29" s="723" t="s">
        <v>958</v>
      </c>
      <c r="C29" s="724"/>
      <c r="D29" s="724"/>
      <c r="E29" s="12"/>
      <c r="F29" s="12"/>
    </row>
    <row r="30" spans="2:6" ht="20.399999999999999" x14ac:dyDescent="0.25">
      <c r="B30" s="92" t="s">
        <v>50</v>
      </c>
      <c r="C30" s="433" t="str">
        <f>'Dane podstawowe'!$B$7</f>
        <v>01.01.2016-31.12.2016</v>
      </c>
      <c r="D30" s="433" t="str">
        <f>'Dane podstawowe'!$B$12</f>
        <v>01.01.2015-31.12.2015</v>
      </c>
      <c r="E30" s="12"/>
      <c r="F30" s="12"/>
    </row>
    <row r="31" spans="2:6" x14ac:dyDescent="0.25">
      <c r="B31" s="722" t="s">
        <v>333</v>
      </c>
      <c r="C31" s="57">
        <v>358142</v>
      </c>
      <c r="D31" s="57">
        <v>-250958</v>
      </c>
      <c r="E31" s="12"/>
      <c r="F31" s="12"/>
    </row>
    <row r="32" spans="2:6" x14ac:dyDescent="0.25">
      <c r="B32" s="721" t="s">
        <v>337</v>
      </c>
      <c r="C32" s="108">
        <v>-918949</v>
      </c>
      <c r="D32" s="108">
        <v>900</v>
      </c>
      <c r="E32" s="12"/>
      <c r="F32" s="12"/>
    </row>
    <row r="33" spans="2:7" x14ac:dyDescent="0.25">
      <c r="B33" s="721" t="s">
        <v>334</v>
      </c>
      <c r="C33" s="108">
        <v>1493109</v>
      </c>
      <c r="D33" s="108">
        <v>2250</v>
      </c>
      <c r="E33" s="12"/>
      <c r="F33" s="12"/>
    </row>
    <row r="34" spans="2:7" x14ac:dyDescent="0.25">
      <c r="B34" s="721" t="s">
        <v>335</v>
      </c>
      <c r="C34" s="108">
        <v>3448657</v>
      </c>
      <c r="D34" s="108">
        <v>67921</v>
      </c>
      <c r="E34" s="12"/>
      <c r="F34" s="12"/>
    </row>
    <row r="35" spans="2:7" x14ac:dyDescent="0.25">
      <c r="B35" s="721" t="s">
        <v>336</v>
      </c>
      <c r="C35" s="108">
        <v>786444</v>
      </c>
      <c r="D35" s="108">
        <v>95072</v>
      </c>
      <c r="E35" s="12"/>
      <c r="F35" s="12"/>
    </row>
    <row r="36" spans="2:7" x14ac:dyDescent="0.25">
      <c r="B36" s="52" t="s">
        <v>338</v>
      </c>
      <c r="C36" s="57">
        <f>C31-C33-C34+C35+C32</f>
        <v>-4716129</v>
      </c>
      <c r="D36" s="57">
        <f>D31-D33-D34+D35+D32</f>
        <v>-225157</v>
      </c>
      <c r="E36" s="12"/>
      <c r="F36" s="12"/>
    </row>
    <row r="37" spans="2:7" x14ac:dyDescent="0.25">
      <c r="B37" s="721" t="s">
        <v>339</v>
      </c>
      <c r="C37" s="108">
        <v>0</v>
      </c>
      <c r="D37" s="108">
        <v>0</v>
      </c>
      <c r="E37" s="12"/>
      <c r="F37" s="12"/>
    </row>
    <row r="38" spans="2:7" x14ac:dyDescent="0.25">
      <c r="B38" s="52" t="s">
        <v>340</v>
      </c>
      <c r="C38" s="57">
        <f>C36-C37</f>
        <v>-4716129</v>
      </c>
      <c r="D38" s="57">
        <f>D36-D37</f>
        <v>-225157</v>
      </c>
      <c r="E38" s="12"/>
      <c r="F38" s="12"/>
    </row>
    <row r="39" spans="2:7" x14ac:dyDescent="0.25">
      <c r="B39" s="721" t="s">
        <v>341</v>
      </c>
      <c r="C39" s="108">
        <v>0</v>
      </c>
      <c r="D39" s="108">
        <v>0</v>
      </c>
      <c r="E39" s="12"/>
      <c r="F39" s="12"/>
    </row>
    <row r="40" spans="2:7" ht="31.2" x14ac:dyDescent="0.25">
      <c r="B40" s="722" t="s">
        <v>728</v>
      </c>
      <c r="C40" s="600">
        <f>C15/C31</f>
        <v>0</v>
      </c>
      <c r="D40" s="600">
        <f>D15/D31</f>
        <v>0</v>
      </c>
      <c r="E40" s="12"/>
      <c r="F40" s="12"/>
    </row>
    <row r="41" spans="2:7" x14ac:dyDescent="0.25">
      <c r="B41" s="723"/>
      <c r="C41" s="724"/>
      <c r="D41" s="724"/>
      <c r="E41" s="12"/>
      <c r="F41" s="12"/>
    </row>
    <row r="42" spans="2:7" x14ac:dyDescent="0.25">
      <c r="B42" s="723"/>
      <c r="C42" s="724"/>
      <c r="D42" s="724"/>
      <c r="E42" s="12"/>
      <c r="F42" s="12"/>
    </row>
    <row r="43" spans="2:7" x14ac:dyDescent="0.25">
      <c r="B43" s="723"/>
      <c r="C43" s="439"/>
      <c r="D43" s="439"/>
      <c r="E43" s="12"/>
      <c r="F43" s="12"/>
      <c r="G43" s="12"/>
    </row>
    <row r="44" spans="2:7" x14ac:dyDescent="0.25">
      <c r="B44" s="723"/>
      <c r="C44" s="439"/>
      <c r="D44" s="439"/>
      <c r="E44" s="12"/>
      <c r="F44" s="12"/>
      <c r="G44" s="12"/>
    </row>
    <row r="45" spans="2:7" x14ac:dyDescent="0.25">
      <c r="B45" s="97"/>
      <c r="C45" s="439"/>
      <c r="D45" s="439"/>
      <c r="E45" s="12"/>
      <c r="F45" s="12"/>
      <c r="G45" s="12"/>
    </row>
    <row r="46" spans="2:7" s="96" customFormat="1" ht="20.399999999999999" x14ac:dyDescent="0.25">
      <c r="B46" s="433" t="s">
        <v>552</v>
      </c>
      <c r="C46" s="623">
        <v>42369</v>
      </c>
      <c r="D46" s="433" t="s">
        <v>279</v>
      </c>
      <c r="E46" s="433" t="s">
        <v>280</v>
      </c>
      <c r="F46" s="623">
        <v>42735</v>
      </c>
      <c r="G46" s="12"/>
    </row>
    <row r="47" spans="2:7" hidden="1" x14ac:dyDescent="0.25">
      <c r="B47" s="98" t="s">
        <v>380</v>
      </c>
      <c r="C47" s="101"/>
      <c r="D47" s="101"/>
      <c r="E47" s="101"/>
      <c r="F47" s="101"/>
      <c r="G47" s="12"/>
    </row>
    <row r="48" spans="2:7" x14ac:dyDescent="0.25">
      <c r="B48" s="98" t="s">
        <v>381</v>
      </c>
      <c r="C48" s="101">
        <f>20262+10131</f>
        <v>30393</v>
      </c>
      <c r="D48" s="101">
        <v>28142.77</v>
      </c>
      <c r="E48" s="101">
        <f>48404.77+10131</f>
        <v>58535.77</v>
      </c>
      <c r="F48" s="101">
        <f t="shared" ref="F48:F60" si="0">C48+D48-E48</f>
        <v>0</v>
      </c>
      <c r="G48" s="12"/>
    </row>
    <row r="49" spans="2:7" x14ac:dyDescent="0.25">
      <c r="B49" s="601" t="s">
        <v>382</v>
      </c>
      <c r="C49" s="101">
        <f>123227</f>
        <v>123227</v>
      </c>
      <c r="D49" s="101">
        <v>105857</v>
      </c>
      <c r="E49" s="101">
        <v>28703.919999999998</v>
      </c>
      <c r="F49" s="101">
        <f t="shared" si="0"/>
        <v>200380.08000000002</v>
      </c>
      <c r="G49" s="554"/>
    </row>
    <row r="50" spans="2:7" hidden="1" x14ac:dyDescent="0.25">
      <c r="B50" s="601" t="s">
        <v>383</v>
      </c>
      <c r="C50" s="101">
        <v>0</v>
      </c>
      <c r="D50" s="101"/>
      <c r="E50" s="101"/>
      <c r="F50" s="101">
        <f t="shared" si="0"/>
        <v>0</v>
      </c>
      <c r="G50" s="12"/>
    </row>
    <row r="51" spans="2:7" hidden="1" x14ac:dyDescent="0.25">
      <c r="B51" s="601" t="s">
        <v>384</v>
      </c>
      <c r="C51" s="101">
        <v>0</v>
      </c>
      <c r="D51" s="101"/>
      <c r="E51" s="101"/>
      <c r="F51" s="101">
        <f t="shared" si="0"/>
        <v>0</v>
      </c>
      <c r="G51" s="12"/>
    </row>
    <row r="52" spans="2:7" x14ac:dyDescent="0.25">
      <c r="B52" s="601" t="s">
        <v>385</v>
      </c>
      <c r="C52" s="101">
        <v>54936</v>
      </c>
      <c r="D52" s="101">
        <f>42800+3279971</f>
        <v>3322771</v>
      </c>
      <c r="E52" s="101">
        <f>25800+21400+3089107</f>
        <v>3136307</v>
      </c>
      <c r="F52" s="101">
        <f t="shared" si="0"/>
        <v>241400</v>
      </c>
      <c r="G52" s="12"/>
    </row>
    <row r="53" spans="2:7" ht="21" hidden="1" x14ac:dyDescent="0.25">
      <c r="B53" s="98" t="s">
        <v>56</v>
      </c>
      <c r="C53" s="101">
        <v>0</v>
      </c>
      <c r="D53" s="101"/>
      <c r="E53" s="101"/>
      <c r="F53" s="101">
        <f t="shared" si="0"/>
        <v>0</v>
      </c>
      <c r="G53" s="12"/>
    </row>
    <row r="54" spans="2:7" ht="21" hidden="1" x14ac:dyDescent="0.25">
      <c r="B54" s="98" t="s">
        <v>418</v>
      </c>
      <c r="C54" s="101">
        <v>0</v>
      </c>
      <c r="D54" s="101"/>
      <c r="E54" s="101"/>
      <c r="F54" s="101">
        <f t="shared" si="0"/>
        <v>0</v>
      </c>
      <c r="G54" s="12"/>
    </row>
    <row r="55" spans="2:7" x14ac:dyDescent="0.25">
      <c r="B55" s="98" t="s">
        <v>30</v>
      </c>
      <c r="C55" s="101">
        <v>9746</v>
      </c>
      <c r="D55" s="101">
        <v>8410.11</v>
      </c>
      <c r="E55" s="101">
        <v>9746</v>
      </c>
      <c r="F55" s="101">
        <f t="shared" si="0"/>
        <v>8410.11</v>
      </c>
      <c r="G55" s="12"/>
    </row>
    <row r="56" spans="2:7" ht="21" hidden="1" x14ac:dyDescent="0.25">
      <c r="B56" s="98" t="s">
        <v>57</v>
      </c>
      <c r="C56" s="101">
        <v>0</v>
      </c>
      <c r="D56" s="101"/>
      <c r="E56" s="101"/>
      <c r="F56" s="101">
        <f t="shared" si="0"/>
        <v>0</v>
      </c>
      <c r="G56" s="12"/>
    </row>
    <row r="57" spans="2:7" ht="21" hidden="1" x14ac:dyDescent="0.25">
      <c r="B57" s="98" t="s">
        <v>403</v>
      </c>
      <c r="C57" s="101">
        <v>0</v>
      </c>
      <c r="D57" s="99"/>
      <c r="E57" s="99"/>
      <c r="F57" s="101">
        <f t="shared" si="0"/>
        <v>0</v>
      </c>
      <c r="G57" s="12"/>
    </row>
    <row r="58" spans="2:7" hidden="1" x14ac:dyDescent="0.25">
      <c r="B58" s="601" t="s">
        <v>386</v>
      </c>
      <c r="C58" s="101">
        <v>0</v>
      </c>
      <c r="D58" s="99"/>
      <c r="E58" s="99"/>
      <c r="F58" s="101">
        <f t="shared" si="0"/>
        <v>0</v>
      </c>
      <c r="G58" s="12"/>
    </row>
    <row r="59" spans="2:7" hidden="1" x14ac:dyDescent="0.25">
      <c r="B59" s="601" t="s">
        <v>387</v>
      </c>
      <c r="C59" s="101">
        <v>0</v>
      </c>
      <c r="D59" s="99"/>
      <c r="E59" s="99"/>
      <c r="F59" s="101">
        <f t="shared" si="0"/>
        <v>0</v>
      </c>
      <c r="G59" s="12"/>
    </row>
    <row r="60" spans="2:7" x14ac:dyDescent="0.25">
      <c r="B60" s="601" t="s">
        <v>581</v>
      </c>
      <c r="C60" s="101">
        <v>882524</v>
      </c>
      <c r="D60" s="101">
        <v>691045</v>
      </c>
      <c r="E60" s="101">
        <v>85035</v>
      </c>
      <c r="F60" s="101">
        <f t="shared" si="0"/>
        <v>1488534</v>
      </c>
      <c r="G60" s="12"/>
    </row>
    <row r="61" spans="2:7" hidden="1" x14ac:dyDescent="0.25">
      <c r="B61" s="62" t="s">
        <v>346</v>
      </c>
      <c r="C61" s="99"/>
      <c r="D61" s="101"/>
      <c r="E61" s="101"/>
      <c r="F61" s="99"/>
      <c r="G61" s="12"/>
    </row>
    <row r="62" spans="2:7" hidden="1" x14ac:dyDescent="0.25">
      <c r="B62" s="62" t="s">
        <v>346</v>
      </c>
      <c r="C62" s="99"/>
      <c r="D62" s="101"/>
      <c r="E62" s="101"/>
      <c r="F62" s="99"/>
      <c r="G62" s="12"/>
    </row>
    <row r="63" spans="2:7" hidden="1" x14ac:dyDescent="0.25">
      <c r="B63" s="62" t="s">
        <v>346</v>
      </c>
      <c r="C63" s="99"/>
      <c r="D63" s="101"/>
      <c r="E63" s="101"/>
      <c r="F63" s="99"/>
      <c r="G63" s="12"/>
    </row>
    <row r="64" spans="2:7" x14ac:dyDescent="0.25">
      <c r="B64" s="717" t="s">
        <v>828</v>
      </c>
      <c r="C64" s="101">
        <v>24768</v>
      </c>
      <c r="D64" s="101">
        <v>8567</v>
      </c>
      <c r="E64" s="101">
        <v>30244.76</v>
      </c>
      <c r="F64" s="101">
        <f>C64+D64-E64</f>
        <v>3090.2400000000016</v>
      </c>
      <c r="G64" s="12"/>
    </row>
    <row r="65" spans="2:7" x14ac:dyDescent="0.25">
      <c r="B65" s="717" t="s">
        <v>783</v>
      </c>
      <c r="C65" s="101">
        <v>400980</v>
      </c>
      <c r="D65" s="101">
        <v>220108</v>
      </c>
      <c r="E65" s="101">
        <v>621088</v>
      </c>
      <c r="F65" s="101">
        <f>C65+D65-E65</f>
        <v>0</v>
      </c>
      <c r="G65" s="12"/>
    </row>
    <row r="66" spans="2:7" x14ac:dyDescent="0.25">
      <c r="B66" s="717" t="s">
        <v>939</v>
      </c>
      <c r="C66" s="101">
        <v>0</v>
      </c>
      <c r="D66" s="101">
        <v>110531.4</v>
      </c>
      <c r="E66" s="101">
        <v>0</v>
      </c>
      <c r="F66" s="101">
        <f>C66+D66-E66</f>
        <v>110531.4</v>
      </c>
      <c r="G66" s="12"/>
    </row>
    <row r="67" spans="2:7" x14ac:dyDescent="0.25">
      <c r="B67" s="717" t="s">
        <v>829</v>
      </c>
      <c r="C67" s="101">
        <v>241110</v>
      </c>
      <c r="D67" s="101">
        <f>34855.73+7513.41</f>
        <v>42369.14</v>
      </c>
      <c r="E67" s="101">
        <f>241362</f>
        <v>241362</v>
      </c>
      <c r="F67" s="101">
        <f>C67+D67-E67</f>
        <v>42117.140000000014</v>
      </c>
      <c r="G67" s="12"/>
    </row>
    <row r="68" spans="2:7" x14ac:dyDescent="0.25">
      <c r="B68" s="603" t="s">
        <v>281</v>
      </c>
      <c r="C68" s="99">
        <v>1767684</v>
      </c>
      <c r="D68" s="99">
        <f>SUM(D47:D67)</f>
        <v>4537801.42</v>
      </c>
      <c r="E68" s="99">
        <v>4211023</v>
      </c>
      <c r="F68" s="99">
        <f>C68+D68-E68</f>
        <v>2094462.42</v>
      </c>
      <c r="G68" s="12"/>
    </row>
    <row r="69" spans="2:7" x14ac:dyDescent="0.25">
      <c r="B69" s="601" t="s">
        <v>282</v>
      </c>
      <c r="C69" s="473">
        <v>0.19</v>
      </c>
      <c r="D69" s="473">
        <v>0.19</v>
      </c>
      <c r="E69" s="473">
        <v>0.19</v>
      </c>
      <c r="F69" s="473">
        <v>0.19</v>
      </c>
      <c r="G69" s="12"/>
    </row>
    <row r="70" spans="2:7" x14ac:dyDescent="0.25">
      <c r="B70" s="603" t="s">
        <v>283</v>
      </c>
      <c r="C70" s="99">
        <f>ROUND(C68*C69,0)</f>
        <v>335860</v>
      </c>
      <c r="D70" s="99">
        <f t="shared" ref="D70:F70" si="1">ROUND(D68*D69,0)</f>
        <v>862182</v>
      </c>
      <c r="E70" s="99">
        <f t="shared" si="1"/>
        <v>800094</v>
      </c>
      <c r="F70" s="99">
        <f t="shared" si="1"/>
        <v>397948</v>
      </c>
      <c r="G70" s="12"/>
    </row>
    <row r="71" spans="2:7" x14ac:dyDescent="0.25">
      <c r="B71" s="97"/>
      <c r="C71" s="414">
        <f>Aktywa!E13-C70</f>
        <v>0</v>
      </c>
      <c r="D71" s="474"/>
      <c r="E71" s="474"/>
      <c r="F71" s="414">
        <f>Aktywa!D13-F70</f>
        <v>0</v>
      </c>
      <c r="G71" s="12"/>
    </row>
    <row r="72" spans="2:7" x14ac:dyDescent="0.25">
      <c r="B72" s="97"/>
      <c r="C72" s="439"/>
      <c r="D72" s="439"/>
      <c r="E72" s="12"/>
      <c r="F72" s="12"/>
      <c r="G72" s="12"/>
    </row>
    <row r="73" spans="2:7" ht="20.399999999999999" x14ac:dyDescent="0.25">
      <c r="B73" s="433" t="s">
        <v>553</v>
      </c>
      <c r="C73" s="623">
        <v>42369</v>
      </c>
      <c r="D73" s="433" t="s">
        <v>279</v>
      </c>
      <c r="E73" s="433" t="s">
        <v>280</v>
      </c>
      <c r="F73" s="623">
        <v>42735</v>
      </c>
      <c r="G73" s="12"/>
    </row>
    <row r="74" spans="2:7" x14ac:dyDescent="0.25">
      <c r="B74" s="98" t="s">
        <v>54</v>
      </c>
      <c r="C74" s="520">
        <v>457718</v>
      </c>
      <c r="D74" s="520">
        <v>1459538.17</v>
      </c>
      <c r="E74" s="520">
        <v>39724</v>
      </c>
      <c r="F74" s="520">
        <f t="shared" ref="F74:F80" si="2">C74+D74-E74</f>
        <v>1877532.17</v>
      </c>
      <c r="G74" s="12"/>
    </row>
    <row r="75" spans="2:7" hidden="1" x14ac:dyDescent="0.25">
      <c r="B75" s="98"/>
      <c r="C75" s="520" t="e">
        <f>#REF!+#REF!-#REF!</f>
        <v>#REF!</v>
      </c>
      <c r="D75" s="520"/>
      <c r="E75" s="520"/>
      <c r="F75" s="520" t="e">
        <f t="shared" si="2"/>
        <v>#REF!</v>
      </c>
      <c r="G75" s="12"/>
    </row>
    <row r="76" spans="2:7" ht="21" hidden="1" x14ac:dyDescent="0.25">
      <c r="B76" s="98" t="s">
        <v>55</v>
      </c>
      <c r="C76" s="520">
        <v>0</v>
      </c>
      <c r="D76" s="520"/>
      <c r="E76" s="520"/>
      <c r="F76" s="520">
        <f t="shared" si="2"/>
        <v>0</v>
      </c>
      <c r="G76" s="12"/>
    </row>
    <row r="77" spans="2:7" hidden="1" x14ac:dyDescent="0.25">
      <c r="B77" s="98" t="s">
        <v>666</v>
      </c>
      <c r="C77" s="520">
        <v>0</v>
      </c>
      <c r="D77" s="520"/>
      <c r="E77" s="520"/>
      <c r="F77" s="520">
        <f t="shared" si="2"/>
        <v>0</v>
      </c>
      <c r="G77" s="12"/>
    </row>
    <row r="78" spans="2:7" x14ac:dyDescent="0.25">
      <c r="B78" s="98" t="s">
        <v>29</v>
      </c>
      <c r="C78" s="520">
        <v>13915</v>
      </c>
      <c r="D78" s="520">
        <v>16293.58</v>
      </c>
      <c r="E78" s="520">
        <v>13915</v>
      </c>
      <c r="F78" s="520">
        <f t="shared" si="2"/>
        <v>16293.580000000002</v>
      </c>
      <c r="G78" s="12"/>
    </row>
    <row r="79" spans="2:7" s="589" customFormat="1" x14ac:dyDescent="0.25">
      <c r="B79" s="717" t="s">
        <v>889</v>
      </c>
      <c r="C79" s="520">
        <v>24768</v>
      </c>
      <c r="D79" s="520">
        <v>6488</v>
      </c>
      <c r="E79" s="520">
        <v>24886</v>
      </c>
      <c r="F79" s="520">
        <f t="shared" si="2"/>
        <v>6370</v>
      </c>
      <c r="G79" s="12"/>
    </row>
    <row r="80" spans="2:7" hidden="1" x14ac:dyDescent="0.25">
      <c r="B80" s="62" t="s">
        <v>346</v>
      </c>
      <c r="C80" s="520" t="e">
        <f>#REF!+#REF!-#REF!</f>
        <v>#REF!</v>
      </c>
      <c r="D80" s="520"/>
      <c r="E80" s="520"/>
      <c r="F80" s="520" t="e">
        <f t="shared" si="2"/>
        <v>#REF!</v>
      </c>
      <c r="G80" s="12"/>
    </row>
    <row r="81" spans="2:7" x14ac:dyDescent="0.25">
      <c r="B81" s="719" t="s">
        <v>783</v>
      </c>
      <c r="C81" s="520">
        <v>0</v>
      </c>
      <c r="D81" s="520">
        <v>1745907.27</v>
      </c>
      <c r="E81" s="520">
        <v>1180394.94</v>
      </c>
      <c r="F81" s="520">
        <f>C81+D81-E81</f>
        <v>565512.33000000007</v>
      </c>
      <c r="G81" s="12"/>
    </row>
    <row r="82" spans="2:7" x14ac:dyDescent="0.25">
      <c r="B82" s="98" t="s">
        <v>660</v>
      </c>
      <c r="C82" s="520">
        <v>75420</v>
      </c>
      <c r="D82" s="520">
        <v>144760</v>
      </c>
      <c r="E82" s="520">
        <v>0</v>
      </c>
      <c r="F82" s="520">
        <f>C82+D82-E82</f>
        <v>220180</v>
      </c>
      <c r="G82" s="12"/>
    </row>
    <row r="83" spans="2:7" x14ac:dyDescent="0.25">
      <c r="B83" s="603" t="s">
        <v>284</v>
      </c>
      <c r="C83" s="521">
        <v>571821</v>
      </c>
      <c r="D83" s="521">
        <f>SUM(D74:D82)</f>
        <v>3372987.02</v>
      </c>
      <c r="E83" s="521">
        <f>SUM(E74:E82)</f>
        <v>1258919.94</v>
      </c>
      <c r="F83" s="520">
        <f>C83+D83-E83</f>
        <v>2685888.08</v>
      </c>
      <c r="G83" s="12"/>
    </row>
    <row r="84" spans="2:7" x14ac:dyDescent="0.25">
      <c r="B84" s="601" t="s">
        <v>282</v>
      </c>
      <c r="C84" s="522">
        <v>0.19</v>
      </c>
      <c r="D84" s="522">
        <v>0.19</v>
      </c>
      <c r="E84" s="522">
        <v>0.19</v>
      </c>
      <c r="F84" s="522">
        <v>0.19</v>
      </c>
      <c r="G84" s="12"/>
    </row>
    <row r="85" spans="2:7" x14ac:dyDescent="0.25">
      <c r="B85" s="603" t="s">
        <v>285</v>
      </c>
      <c r="C85" s="523">
        <v>108646</v>
      </c>
      <c r="D85" s="523">
        <f t="shared" ref="D85:F85" si="3">ROUND(D83*D84,0)</f>
        <v>640868</v>
      </c>
      <c r="E85" s="523">
        <f t="shared" si="3"/>
        <v>239195</v>
      </c>
      <c r="F85" s="523">
        <f t="shared" si="3"/>
        <v>510319</v>
      </c>
      <c r="G85" s="12"/>
    </row>
    <row r="86" spans="2:7" x14ac:dyDescent="0.25">
      <c r="B86" s="95"/>
      <c r="C86" s="414">
        <f>Pasywa!E17-'NOTA 6 - Podatek '!C85</f>
        <v>0</v>
      </c>
      <c r="D86" s="474"/>
      <c r="E86" s="474"/>
      <c r="F86" s="414">
        <f>Pasywa!D17-'NOTA 6 - Podatek '!F85</f>
        <v>0</v>
      </c>
      <c r="G86" s="12"/>
    </row>
    <row r="87" spans="2:7" x14ac:dyDescent="0.25">
      <c r="B87" s="97" t="s">
        <v>586</v>
      </c>
      <c r="C87" s="440"/>
      <c r="D87" s="440"/>
      <c r="E87" s="3"/>
      <c r="F87" s="3"/>
      <c r="G87" s="3"/>
    </row>
    <row r="88" spans="2:7" x14ac:dyDescent="0.25">
      <c r="B88" s="97"/>
      <c r="C88" s="440"/>
      <c r="D88" s="440"/>
      <c r="E88" s="3"/>
      <c r="F88" s="3"/>
      <c r="G88" s="3"/>
    </row>
    <row r="89" spans="2:7" x14ac:dyDescent="0.25">
      <c r="B89" s="126" t="s">
        <v>416</v>
      </c>
      <c r="C89" s="623">
        <f>'Dane podstawowe'!B9</f>
        <v>42735</v>
      </c>
      <c r="D89" s="623">
        <f>'Dane podstawowe'!$B$14</f>
        <v>42369</v>
      </c>
      <c r="E89" s="3"/>
      <c r="F89" s="3"/>
    </row>
    <row r="90" spans="2:7" x14ac:dyDescent="0.25">
      <c r="B90" s="109" t="s">
        <v>583</v>
      </c>
      <c r="C90" s="108">
        <f>F70</f>
        <v>397948</v>
      </c>
      <c r="D90" s="108">
        <f>C70</f>
        <v>335860</v>
      </c>
      <c r="E90" s="3"/>
      <c r="F90" s="3"/>
    </row>
    <row r="91" spans="2:7" ht="20.399999999999999" x14ac:dyDescent="0.25">
      <c r="B91" s="536" t="s">
        <v>584</v>
      </c>
      <c r="C91" s="108">
        <f>F85</f>
        <v>510319</v>
      </c>
      <c r="D91" s="108">
        <f>C85</f>
        <v>108646</v>
      </c>
      <c r="E91" s="316"/>
      <c r="F91" s="3"/>
    </row>
    <row r="92" spans="2:7" x14ac:dyDescent="0.25">
      <c r="B92" s="536" t="s">
        <v>585</v>
      </c>
      <c r="C92" s="108"/>
      <c r="D92" s="108"/>
      <c r="E92" s="3"/>
      <c r="F92" s="3"/>
    </row>
    <row r="93" spans="2:7" x14ac:dyDescent="0.25">
      <c r="B93" s="64" t="s">
        <v>586</v>
      </c>
      <c r="C93" s="57">
        <f>C90-C91-C92</f>
        <v>-112371</v>
      </c>
      <c r="D93" s="57">
        <f>D90-D91-D92</f>
        <v>227214</v>
      </c>
      <c r="E93" s="3"/>
      <c r="F93" s="3"/>
    </row>
    <row r="94" spans="2:7" x14ac:dyDescent="0.25">
      <c r="B94" s="50"/>
      <c r="C94" s="316"/>
      <c r="D94" s="316"/>
      <c r="E94" s="3"/>
      <c r="F94" s="3"/>
      <c r="G94" s="3"/>
    </row>
    <row r="95" spans="2:7" x14ac:dyDescent="0.25">
      <c r="B95" s="50"/>
      <c r="C95" s="316"/>
      <c r="D95" s="316"/>
      <c r="E95" s="3"/>
      <c r="F95" s="3"/>
      <c r="G95" s="3"/>
    </row>
    <row r="96" spans="2:7" x14ac:dyDescent="0.25">
      <c r="B96" s="50"/>
      <c r="C96" s="316"/>
      <c r="D96" s="316"/>
      <c r="E96" s="3"/>
      <c r="F96" s="3"/>
      <c r="G96" s="3"/>
    </row>
    <row r="97" spans="2:7" x14ac:dyDescent="0.25">
      <c r="B97" s="50"/>
      <c r="C97" s="316"/>
      <c r="D97" s="316"/>
      <c r="E97" s="3"/>
      <c r="F97" s="3"/>
      <c r="G97" s="3"/>
    </row>
    <row r="98" spans="2:7" x14ac:dyDescent="0.25">
      <c r="B98" s="50"/>
      <c r="C98" s="316"/>
      <c r="D98" s="316"/>
      <c r="E98" s="3"/>
      <c r="F98" s="3"/>
      <c r="G98" s="3"/>
    </row>
    <row r="99" spans="2:7" x14ac:dyDescent="0.25">
      <c r="B99" s="50"/>
      <c r="C99" s="316"/>
      <c r="D99" s="316"/>
      <c r="E99" s="3"/>
      <c r="F99" s="3"/>
      <c r="G99" s="3"/>
    </row>
    <row r="100" spans="2:7" x14ac:dyDescent="0.25">
      <c r="B100" s="50"/>
      <c r="C100" s="316"/>
      <c r="D100" s="316"/>
      <c r="E100" s="3"/>
      <c r="F100" s="3"/>
      <c r="G100" s="3"/>
    </row>
    <row r="101" spans="2:7" x14ac:dyDescent="0.25">
      <c r="B101" s="50"/>
      <c r="C101" s="316"/>
      <c r="D101" s="316"/>
      <c r="E101" s="3"/>
      <c r="F101" s="3"/>
      <c r="G101" s="3"/>
    </row>
    <row r="102" spans="2:7" x14ac:dyDescent="0.25">
      <c r="B102" s="50"/>
      <c r="C102" s="316"/>
      <c r="D102" s="316"/>
      <c r="E102" s="3"/>
      <c r="F102" s="3"/>
      <c r="G102" s="3"/>
    </row>
    <row r="103" spans="2:7" x14ac:dyDescent="0.25">
      <c r="B103" s="50"/>
      <c r="C103" s="316"/>
      <c r="D103" s="316"/>
      <c r="E103" s="3"/>
      <c r="F103" s="3"/>
      <c r="G103" s="3"/>
    </row>
    <row r="104" spans="2:7" x14ac:dyDescent="0.25">
      <c r="B104" s="50"/>
      <c r="C104" s="316"/>
      <c r="D104" s="316"/>
      <c r="E104" s="3"/>
      <c r="F104" s="3"/>
      <c r="G104" s="3"/>
    </row>
    <row r="105" spans="2:7" x14ac:dyDescent="0.25">
      <c r="B105" s="50"/>
      <c r="C105" s="316"/>
      <c r="D105" s="316"/>
      <c r="E105" s="3"/>
      <c r="F105" s="3"/>
      <c r="G105" s="3"/>
    </row>
  </sheetData>
  <phoneticPr fontId="27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B1:H29"/>
  <sheetViews>
    <sheetView showGridLines="0" view="pageBreakPreview" zoomScaleNormal="100" zoomScaleSheetLayoutView="100" workbookViewId="0">
      <selection activeCell="N39" sqref="N39"/>
    </sheetView>
  </sheetViews>
  <sheetFormatPr defaultColWidth="9.109375" defaultRowHeight="13.2" x14ac:dyDescent="0.25"/>
  <cols>
    <col min="1" max="1" width="3.44140625" style="45" customWidth="1"/>
    <col min="2" max="2" width="55.88671875" style="45" customWidth="1"/>
    <col min="3" max="4" width="18.109375" style="45" bestFit="1" customWidth="1"/>
    <col min="5" max="5" width="21" style="45" customWidth="1"/>
    <col min="6" max="7" width="9.5546875" style="45" customWidth="1"/>
    <col min="8" max="16384" width="9.109375" style="45"/>
  </cols>
  <sheetData>
    <row r="1" spans="2:8" x14ac:dyDescent="0.25">
      <c r="B1" s="70"/>
    </row>
    <row r="2" spans="2:8" s="3" customFormat="1" ht="10.199999999999999" x14ac:dyDescent="0.2"/>
    <row r="3" spans="2:8" s="3" customFormat="1" x14ac:dyDescent="0.25">
      <c r="B3" s="534" t="s">
        <v>968</v>
      </c>
      <c r="C3" s="319"/>
      <c r="D3" s="319"/>
      <c r="E3" s="319"/>
      <c r="F3" s="319"/>
      <c r="G3" s="319"/>
      <c r="H3" s="319"/>
    </row>
    <row r="4" spans="2:8" s="3" customFormat="1" ht="10.199999999999999" x14ac:dyDescent="0.2">
      <c r="B4" s="117"/>
      <c r="C4" s="319"/>
      <c r="D4" s="319"/>
      <c r="E4" s="319"/>
      <c r="F4" s="319"/>
      <c r="G4" s="319"/>
      <c r="H4" s="319"/>
    </row>
    <row r="5" spans="2:8" s="9" customFormat="1" ht="10.199999999999999" x14ac:dyDescent="0.2">
      <c r="B5" s="156" t="s">
        <v>589</v>
      </c>
      <c r="C5" s="144" t="str">
        <f>'Dane podstawowe'!$B$7</f>
        <v>01.01.2016-31.12.2016</v>
      </c>
      <c r="D5" s="144" t="str">
        <f>'Dane podstawowe'!$B$12</f>
        <v>01.01.2015-31.12.2015</v>
      </c>
      <c r="E5" s="119"/>
      <c r="F5" s="119"/>
      <c r="G5" s="42"/>
    </row>
    <row r="6" spans="2:8" s="3" customFormat="1" ht="10.199999999999999" x14ac:dyDescent="0.2">
      <c r="B6" s="71" t="s">
        <v>587</v>
      </c>
      <c r="C6" s="320">
        <f>RZiS!D29</f>
        <v>3978657.2199999997</v>
      </c>
      <c r="D6" s="320">
        <f>RZiS!E29</f>
        <v>4049562</v>
      </c>
      <c r="E6" s="119"/>
      <c r="F6" s="119"/>
    </row>
    <row r="7" spans="2:8" s="3" customFormat="1" ht="10.199999999999999" x14ac:dyDescent="0.2">
      <c r="B7" s="71" t="s">
        <v>588</v>
      </c>
      <c r="C7" s="320">
        <f>RZiS!D30</f>
        <v>0</v>
      </c>
      <c r="D7" s="320">
        <f>RZiS!E30</f>
        <v>0</v>
      </c>
      <c r="E7" s="119"/>
      <c r="F7" s="119"/>
    </row>
    <row r="8" spans="2:8" s="3" customFormat="1" ht="20.399999999999999" x14ac:dyDescent="0.2">
      <c r="B8" s="174" t="s">
        <v>617</v>
      </c>
      <c r="C8" s="121">
        <f>C6-C7</f>
        <v>3978657.2199999997</v>
      </c>
      <c r="D8" s="121">
        <f>D6-D7</f>
        <v>4049562</v>
      </c>
      <c r="E8" s="119"/>
      <c r="F8" s="119"/>
    </row>
    <row r="9" spans="2:8" s="3" customFormat="1" ht="10.199999999999999" x14ac:dyDescent="0.2">
      <c r="B9" s="2" t="s">
        <v>590</v>
      </c>
      <c r="C9" s="320">
        <f>SUM(C10:C12)</f>
        <v>0</v>
      </c>
      <c r="D9" s="320">
        <f>SUM(D10:D12)</f>
        <v>0</v>
      </c>
      <c r="E9" s="119"/>
      <c r="F9" s="119"/>
    </row>
    <row r="10" spans="2:8" s="3" customFormat="1" ht="10.199999999999999" x14ac:dyDescent="0.2">
      <c r="B10" s="120" t="s">
        <v>591</v>
      </c>
      <c r="C10" s="320"/>
      <c r="D10" s="320"/>
      <c r="E10" s="119"/>
      <c r="F10" s="119"/>
    </row>
    <row r="11" spans="2:8" s="3" customFormat="1" ht="10.199999999999999" x14ac:dyDescent="0.2">
      <c r="B11" s="120" t="s">
        <v>592</v>
      </c>
      <c r="C11" s="320"/>
      <c r="D11" s="320"/>
      <c r="E11" s="119"/>
      <c r="F11" s="119"/>
    </row>
    <row r="12" spans="2:8" s="3" customFormat="1" ht="10.199999999999999" hidden="1" x14ac:dyDescent="0.2">
      <c r="B12" s="61" t="s">
        <v>593</v>
      </c>
      <c r="C12" s="320"/>
      <c r="D12" s="320"/>
      <c r="E12" s="119"/>
      <c r="F12" s="119"/>
    </row>
    <row r="13" spans="2:8" s="41" customFormat="1" ht="23.25" customHeight="1" x14ac:dyDescent="0.2">
      <c r="B13" s="174" t="s">
        <v>594</v>
      </c>
      <c r="C13" s="198">
        <f>C8+C9</f>
        <v>3978657.2199999997</v>
      </c>
      <c r="D13" s="198">
        <f>D8+D9</f>
        <v>4049562</v>
      </c>
      <c r="E13" s="119"/>
      <c r="F13" s="119"/>
    </row>
    <row r="14" spans="2:8" s="3" customFormat="1" ht="10.199999999999999" x14ac:dyDescent="0.2">
      <c r="B14" s="123"/>
      <c r="C14" s="124"/>
      <c r="D14" s="124"/>
      <c r="E14" s="119"/>
      <c r="F14" s="119"/>
    </row>
    <row r="15" spans="2:8" s="3" customFormat="1" ht="10.199999999999999" x14ac:dyDescent="0.2">
      <c r="B15" s="110"/>
      <c r="E15" s="119"/>
      <c r="F15" s="119"/>
    </row>
    <row r="16" spans="2:8" s="3" customFormat="1" ht="10.199999999999999" x14ac:dyDescent="0.2">
      <c r="B16" s="140" t="s">
        <v>601</v>
      </c>
      <c r="C16" s="144" t="str">
        <f>'Dane podstawowe'!$B$7</f>
        <v>01.01.2016-31.12.2016</v>
      </c>
      <c r="D16" s="144" t="str">
        <f>'Dane podstawowe'!$B$12</f>
        <v>01.01.2015-31.12.2015</v>
      </c>
      <c r="E16" s="119"/>
      <c r="F16" s="119"/>
    </row>
    <row r="17" spans="2:6" s="3" customFormat="1" ht="20.399999999999999" x14ac:dyDescent="0.2">
      <c r="B17" s="64" t="s">
        <v>595</v>
      </c>
      <c r="C17" s="57">
        <v>2291551</v>
      </c>
      <c r="D17" s="57">
        <v>2215500</v>
      </c>
      <c r="E17" s="119"/>
      <c r="F17" s="119"/>
    </row>
    <row r="18" spans="2:6" s="3" customFormat="1" ht="10.199999999999999" x14ac:dyDescent="0.2">
      <c r="B18" s="63" t="s">
        <v>596</v>
      </c>
      <c r="C18" s="320">
        <f>SUM(C19:C21)</f>
        <v>0</v>
      </c>
      <c r="D18" s="320">
        <f>SUM(D19:D21)</f>
        <v>0</v>
      </c>
      <c r="E18" s="119"/>
      <c r="F18" s="119"/>
    </row>
    <row r="19" spans="2:6" s="3" customFormat="1" ht="10.199999999999999" x14ac:dyDescent="0.2">
      <c r="B19" s="63" t="s">
        <v>597</v>
      </c>
      <c r="C19" s="108"/>
      <c r="D19" s="108"/>
      <c r="E19" s="119"/>
      <c r="F19" s="119"/>
    </row>
    <row r="20" spans="2:6" s="3" customFormat="1" ht="10.199999999999999" x14ac:dyDescent="0.2">
      <c r="B20" s="63" t="s">
        <v>598</v>
      </c>
      <c r="C20" s="108"/>
      <c r="D20" s="108"/>
      <c r="E20" s="119"/>
      <c r="F20" s="119"/>
    </row>
    <row r="21" spans="2:6" s="3" customFormat="1" ht="10.199999999999999" x14ac:dyDescent="0.2">
      <c r="B21" s="62" t="s">
        <v>599</v>
      </c>
      <c r="C21" s="108"/>
      <c r="D21" s="108"/>
      <c r="E21" s="119"/>
      <c r="F21" s="119"/>
    </row>
    <row r="22" spans="2:6" s="3" customFormat="1" ht="20.399999999999999" x14ac:dyDescent="0.2">
      <c r="B22" s="64" t="s">
        <v>600</v>
      </c>
      <c r="C22" s="198">
        <f>C17+C18</f>
        <v>2291551</v>
      </c>
      <c r="D22" s="198">
        <f>D17+D18</f>
        <v>2215500</v>
      </c>
      <c r="E22" s="119"/>
      <c r="F22" s="119"/>
    </row>
    <row r="23" spans="2:6" s="3" customFormat="1" ht="10.199999999999999" x14ac:dyDescent="0.2">
      <c r="B23" s="122"/>
      <c r="C23" s="306"/>
      <c r="D23" s="306"/>
    </row>
    <row r="24" spans="2:6" s="3" customFormat="1" ht="11.25" customHeight="1" x14ac:dyDescent="0.2">
      <c r="C24" s="771"/>
      <c r="D24" s="771"/>
      <c r="E24" s="771"/>
    </row>
    <row r="25" spans="2:6" s="3" customFormat="1" ht="10.199999999999999" x14ac:dyDescent="0.2">
      <c r="B25" s="110"/>
    </row>
    <row r="29" spans="2:6" x14ac:dyDescent="0.25">
      <c r="C29" s="202"/>
    </row>
  </sheetData>
  <mergeCells count="1">
    <mergeCell ref="C24:E24"/>
  </mergeCells>
  <phoneticPr fontId="27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theme="0"/>
  </sheetPr>
  <dimension ref="B1:I157"/>
  <sheetViews>
    <sheetView showGridLines="0" view="pageBreakPreview" zoomScale="107" zoomScaleNormal="100" zoomScaleSheetLayoutView="107" zoomScalePageLayoutView="90" workbookViewId="0">
      <selection activeCell="K65" sqref="K65"/>
    </sheetView>
  </sheetViews>
  <sheetFormatPr defaultColWidth="9.109375" defaultRowHeight="10.199999999999999" outlineLevelRow="1" x14ac:dyDescent="0.2"/>
  <cols>
    <col min="1" max="1" width="2.6640625" style="322" customWidth="1"/>
    <col min="2" max="2" width="42.109375" style="322" customWidth="1"/>
    <col min="3" max="8" width="15.88671875" style="322" customWidth="1"/>
    <col min="9" max="9" width="13.6640625" style="322" customWidth="1"/>
    <col min="10" max="10" width="14.109375" style="322" customWidth="1"/>
    <col min="11" max="11" width="13.109375" style="322" customWidth="1"/>
    <col min="12" max="16384" width="9.109375" style="322"/>
  </cols>
  <sheetData>
    <row r="1" spans="2:8" ht="18.75" customHeight="1" x14ac:dyDescent="0.2">
      <c r="B1" s="321"/>
    </row>
    <row r="2" spans="2:8" ht="13.2" x14ac:dyDescent="0.25">
      <c r="B2" s="534" t="s">
        <v>969</v>
      </c>
      <c r="C2" s="323"/>
      <c r="D2" s="323"/>
      <c r="E2" s="323"/>
      <c r="F2" s="323"/>
      <c r="G2" s="323"/>
      <c r="H2" s="323"/>
    </row>
    <row r="3" spans="2:8" x14ac:dyDescent="0.2">
      <c r="B3" s="324"/>
      <c r="C3" s="323"/>
      <c r="D3" s="323"/>
      <c r="E3" s="323"/>
      <c r="F3" s="323"/>
      <c r="G3" s="323"/>
      <c r="H3" s="323"/>
    </row>
    <row r="4" spans="2:8" ht="13.65" customHeight="1" x14ac:dyDescent="0.2">
      <c r="B4" s="325" t="s">
        <v>4</v>
      </c>
      <c r="C4" s="323"/>
      <c r="D4" s="323"/>
      <c r="E4" s="323"/>
      <c r="F4" s="323"/>
      <c r="G4" s="323"/>
      <c r="H4" s="323"/>
    </row>
    <row r="5" spans="2:8" ht="13.65" customHeight="1" x14ac:dyDescent="0.2">
      <c r="B5" s="325"/>
      <c r="C5" s="323"/>
      <c r="D5" s="323"/>
      <c r="E5" s="323"/>
      <c r="F5" s="323"/>
      <c r="G5" s="323"/>
      <c r="H5" s="323"/>
    </row>
    <row r="6" spans="2:8" s="327" customFormat="1" x14ac:dyDescent="0.2">
      <c r="B6" s="276" t="s">
        <v>416</v>
      </c>
      <c r="C6" s="624">
        <f>'Dane podstawowe'!$B$9</f>
        <v>42735</v>
      </c>
      <c r="D6" s="624">
        <f>'Dane podstawowe'!$B$14</f>
        <v>42369</v>
      </c>
      <c r="E6" s="323"/>
      <c r="F6" s="323"/>
      <c r="G6" s="326"/>
    </row>
    <row r="7" spans="2:8" x14ac:dyDescent="0.2">
      <c r="B7" s="328" t="s">
        <v>602</v>
      </c>
      <c r="C7" s="329">
        <v>732394</v>
      </c>
      <c r="D7" s="329">
        <f>691917+4000</f>
        <v>695917</v>
      </c>
      <c r="E7" s="323"/>
      <c r="F7" s="323"/>
      <c r="G7" s="323"/>
    </row>
    <row r="8" spans="2:8" ht="20.399999999999999" x14ac:dyDescent="0.2">
      <c r="B8" s="330" t="s">
        <v>603</v>
      </c>
      <c r="C8" s="329">
        <v>122208</v>
      </c>
      <c r="D8" s="329">
        <v>96319.81</v>
      </c>
      <c r="E8" s="323"/>
      <c r="F8" s="323"/>
      <c r="G8" s="323"/>
    </row>
    <row r="9" spans="2:8" x14ac:dyDescent="0.2">
      <c r="B9" s="331" t="s">
        <v>26</v>
      </c>
      <c r="C9" s="332">
        <f>SUM(C7:C8)</f>
        <v>854602</v>
      </c>
      <c r="D9" s="332">
        <f>SUM(D7:D8)</f>
        <v>792236.81</v>
      </c>
      <c r="E9" s="323"/>
      <c r="F9" s="323"/>
      <c r="G9" s="323"/>
    </row>
    <row r="10" spans="2:8" x14ac:dyDescent="0.2">
      <c r="B10" s="323"/>
      <c r="C10" s="398">
        <f>Aktywa!D4-'NOTA 9 -Rzeczowe aktywa trwałe'!C9</f>
        <v>0</v>
      </c>
      <c r="D10" s="398">
        <f>Aktywa!E4-'NOTA 9 -Rzeczowe aktywa trwałe'!D9</f>
        <v>0.18999999994412065</v>
      </c>
      <c r="E10" s="323"/>
      <c r="F10" s="323"/>
      <c r="G10" s="323"/>
    </row>
    <row r="11" spans="2:8" s="327" customFormat="1" x14ac:dyDescent="0.2">
      <c r="B11" s="333"/>
      <c r="C11" s="334"/>
      <c r="D11" s="334"/>
      <c r="E11" s="323"/>
      <c r="F11" s="323"/>
      <c r="G11" s="323"/>
      <c r="H11" s="326"/>
    </row>
    <row r="12" spans="2:8" x14ac:dyDescent="0.2">
      <c r="B12" s="625" t="s">
        <v>890</v>
      </c>
      <c r="C12" s="335"/>
      <c r="D12" s="335"/>
      <c r="E12" s="323"/>
      <c r="F12" s="323"/>
      <c r="G12" s="323"/>
      <c r="H12" s="323"/>
    </row>
    <row r="13" spans="2:8" x14ac:dyDescent="0.2">
      <c r="B13" s="325"/>
      <c r="C13" s="335"/>
      <c r="D13" s="335"/>
      <c r="E13" s="323"/>
      <c r="F13" s="323"/>
      <c r="G13" s="323"/>
      <c r="H13" s="323"/>
    </row>
    <row r="14" spans="2:8" ht="30.6" outlineLevel="1" x14ac:dyDescent="0.2">
      <c r="B14" s="278" t="s">
        <v>416</v>
      </c>
      <c r="C14" s="336" t="s">
        <v>420</v>
      </c>
      <c r="D14" s="337" t="s">
        <v>421</v>
      </c>
      <c r="E14" s="336" t="s">
        <v>422</v>
      </c>
      <c r="F14" s="337" t="s">
        <v>656</v>
      </c>
      <c r="G14" s="336" t="s">
        <v>657</v>
      </c>
      <c r="H14" s="338" t="s">
        <v>26</v>
      </c>
    </row>
    <row r="15" spans="2:8" s="327" customFormat="1" outlineLevel="1" x14ac:dyDescent="0.25">
      <c r="B15" s="626" t="s">
        <v>960</v>
      </c>
      <c r="C15" s="339">
        <f t="shared" ref="C15:G15" si="0">C64</f>
        <v>0</v>
      </c>
      <c r="D15" s="339">
        <f t="shared" si="0"/>
        <v>167716</v>
      </c>
      <c r="E15" s="339">
        <f t="shared" si="0"/>
        <v>676418</v>
      </c>
      <c r="F15" s="339">
        <f t="shared" si="0"/>
        <v>122548</v>
      </c>
      <c r="G15" s="339">
        <f t="shared" si="0"/>
        <v>107066</v>
      </c>
      <c r="H15" s="339">
        <f>SUM(C15:G15)</f>
        <v>1073748</v>
      </c>
    </row>
    <row r="16" spans="2:8" s="342" customFormat="1" outlineLevel="1" x14ac:dyDescent="0.2">
      <c r="B16" s="340" t="s">
        <v>116</v>
      </c>
      <c r="C16" s="341">
        <f t="shared" ref="C16:G16" si="1">SUM(C17:C23)</f>
        <v>0</v>
      </c>
      <c r="D16" s="341">
        <f t="shared" si="1"/>
        <v>7000</v>
      </c>
      <c r="E16" s="341">
        <f t="shared" si="1"/>
        <v>169150</v>
      </c>
      <c r="F16" s="341">
        <f t="shared" si="1"/>
        <v>55852</v>
      </c>
      <c r="G16" s="341">
        <f t="shared" si="1"/>
        <v>49947</v>
      </c>
      <c r="H16" s="341">
        <f t="shared" ref="H16:H42" si="2">SUM(C16:G16)</f>
        <v>281949</v>
      </c>
    </row>
    <row r="17" spans="2:8" outlineLevel="1" x14ac:dyDescent="0.2">
      <c r="B17" s="343" t="s">
        <v>198</v>
      </c>
      <c r="C17" s="344">
        <v>0</v>
      </c>
      <c r="D17" s="344">
        <v>7000</v>
      </c>
      <c r="E17" s="344">
        <v>169150</v>
      </c>
      <c r="F17" s="344">
        <v>55852</v>
      </c>
      <c r="G17" s="344">
        <v>49947</v>
      </c>
      <c r="H17" s="344">
        <f t="shared" si="2"/>
        <v>281949</v>
      </c>
    </row>
    <row r="18" spans="2:8" hidden="1" outlineLevel="1" x14ac:dyDescent="0.2">
      <c r="B18" s="343" t="s">
        <v>199</v>
      </c>
      <c r="C18" s="344"/>
      <c r="D18" s="344"/>
      <c r="E18" s="344"/>
      <c r="F18" s="344"/>
      <c r="G18" s="344"/>
      <c r="H18" s="344">
        <f t="shared" si="2"/>
        <v>0</v>
      </c>
    </row>
    <row r="19" spans="2:8" hidden="1" outlineLevel="1" x14ac:dyDescent="0.2">
      <c r="B19" s="343" t="s">
        <v>194</v>
      </c>
      <c r="C19" s="344"/>
      <c r="D19" s="344"/>
      <c r="E19" s="344"/>
      <c r="F19" s="344"/>
      <c r="G19" s="344"/>
      <c r="H19" s="344">
        <f t="shared" si="2"/>
        <v>0</v>
      </c>
    </row>
    <row r="20" spans="2:8" hidden="1" outlineLevel="1" x14ac:dyDescent="0.2">
      <c r="B20" s="343" t="s">
        <v>200</v>
      </c>
      <c r="C20" s="344"/>
      <c r="D20" s="344"/>
      <c r="E20" s="344"/>
      <c r="F20" s="344"/>
      <c r="G20" s="344"/>
      <c r="H20" s="344">
        <f t="shared" si="2"/>
        <v>0</v>
      </c>
    </row>
    <row r="21" spans="2:8" hidden="1" outlineLevel="1" x14ac:dyDescent="0.2">
      <c r="B21" s="343" t="s">
        <v>201</v>
      </c>
      <c r="C21" s="344"/>
      <c r="D21" s="344"/>
      <c r="E21" s="344"/>
      <c r="F21" s="344"/>
      <c r="G21" s="344"/>
      <c r="H21" s="344">
        <f t="shared" si="2"/>
        <v>0</v>
      </c>
    </row>
    <row r="22" spans="2:8" hidden="1" outlineLevel="1" x14ac:dyDescent="0.2">
      <c r="B22" s="457" t="s">
        <v>646</v>
      </c>
      <c r="C22" s="344"/>
      <c r="D22" s="344"/>
      <c r="E22" s="344"/>
      <c r="F22" s="344"/>
      <c r="G22" s="344"/>
      <c r="H22" s="344">
        <f t="shared" si="2"/>
        <v>0</v>
      </c>
    </row>
    <row r="23" spans="2:8" hidden="1" outlineLevel="1" x14ac:dyDescent="0.2">
      <c r="B23" s="343" t="s">
        <v>637</v>
      </c>
      <c r="C23" s="344"/>
      <c r="D23" s="344"/>
      <c r="E23" s="344"/>
      <c r="F23" s="344"/>
      <c r="G23" s="344"/>
      <c r="H23" s="344">
        <f t="shared" si="2"/>
        <v>0</v>
      </c>
    </row>
    <row r="24" spans="2:8" s="345" customFormat="1" outlineLevel="1" x14ac:dyDescent="0.2">
      <c r="B24" s="340" t="s">
        <v>115</v>
      </c>
      <c r="C24" s="341">
        <f t="shared" ref="C24:G24" si="3">SUM(C25:C30)</f>
        <v>0</v>
      </c>
      <c r="D24" s="341">
        <f t="shared" si="3"/>
        <v>0</v>
      </c>
      <c r="E24" s="341">
        <f t="shared" si="3"/>
        <v>3495</v>
      </c>
      <c r="F24" s="341">
        <f t="shared" si="3"/>
        <v>0</v>
      </c>
      <c r="G24" s="341">
        <f t="shared" si="3"/>
        <v>0</v>
      </c>
      <c r="H24" s="341">
        <f t="shared" si="2"/>
        <v>3495</v>
      </c>
    </row>
    <row r="25" spans="2:8" hidden="1" outlineLevel="1" x14ac:dyDescent="0.2">
      <c r="B25" s="343" t="s">
        <v>202</v>
      </c>
      <c r="C25" s="344"/>
      <c r="D25" s="344"/>
      <c r="E25" s="344"/>
      <c r="F25" s="344"/>
      <c r="G25" s="344"/>
      <c r="H25" s="344">
        <f t="shared" si="2"/>
        <v>0</v>
      </c>
    </row>
    <row r="26" spans="2:8" outlineLevel="1" x14ac:dyDescent="0.2">
      <c r="B26" s="343" t="s">
        <v>203</v>
      </c>
      <c r="C26" s="344">
        <v>0</v>
      </c>
      <c r="D26" s="344">
        <v>0</v>
      </c>
      <c r="E26" s="344">
        <v>3495</v>
      </c>
      <c r="F26" s="344">
        <v>0</v>
      </c>
      <c r="G26" s="344">
        <v>0</v>
      </c>
      <c r="H26" s="344">
        <f t="shared" si="2"/>
        <v>3495</v>
      </c>
    </row>
    <row r="27" spans="2:8" hidden="1" outlineLevel="1" x14ac:dyDescent="0.2">
      <c r="B27" s="343" t="s">
        <v>204</v>
      </c>
      <c r="C27" s="344"/>
      <c r="D27" s="344"/>
      <c r="E27" s="344"/>
      <c r="F27" s="344"/>
      <c r="G27" s="344"/>
      <c r="H27" s="344">
        <f t="shared" si="2"/>
        <v>0</v>
      </c>
    </row>
    <row r="28" spans="2:8" hidden="1" outlineLevel="1" x14ac:dyDescent="0.2">
      <c r="B28" s="343" t="s">
        <v>201</v>
      </c>
      <c r="C28" s="344"/>
      <c r="D28" s="344"/>
      <c r="E28" s="344"/>
      <c r="F28" s="344"/>
      <c r="G28" s="344"/>
      <c r="H28" s="344">
        <f t="shared" si="2"/>
        <v>0</v>
      </c>
    </row>
    <row r="29" spans="2:8" hidden="1" outlineLevel="1" x14ac:dyDescent="0.2">
      <c r="B29" s="343" t="s">
        <v>205</v>
      </c>
      <c r="C29" s="344"/>
      <c r="D29" s="344"/>
      <c r="E29" s="344"/>
      <c r="F29" s="344"/>
      <c r="G29" s="344"/>
      <c r="H29" s="344">
        <f t="shared" si="2"/>
        <v>0</v>
      </c>
    </row>
    <row r="30" spans="2:8" hidden="1" outlineLevel="1" x14ac:dyDescent="0.2">
      <c r="B30" s="343" t="s">
        <v>637</v>
      </c>
      <c r="C30" s="344"/>
      <c r="D30" s="344"/>
      <c r="E30" s="344"/>
      <c r="F30" s="344"/>
      <c r="G30" s="344"/>
      <c r="H30" s="344">
        <f t="shared" si="2"/>
        <v>0</v>
      </c>
    </row>
    <row r="31" spans="2:8" s="327" customFormat="1" ht="10.8" outlineLevel="1" thickBot="1" x14ac:dyDescent="0.3">
      <c r="B31" s="555" t="s">
        <v>961</v>
      </c>
      <c r="C31" s="346">
        <f t="shared" ref="C31:G31" si="4">C15+C16-C24</f>
        <v>0</v>
      </c>
      <c r="D31" s="346">
        <f>D15+D16-D24</f>
        <v>174716</v>
      </c>
      <c r="E31" s="346">
        <f t="shared" si="4"/>
        <v>842073</v>
      </c>
      <c r="F31" s="346">
        <f t="shared" si="4"/>
        <v>178400</v>
      </c>
      <c r="G31" s="346">
        <f t="shared" si="4"/>
        <v>157013</v>
      </c>
      <c r="H31" s="346">
        <f t="shared" si="2"/>
        <v>1352202</v>
      </c>
    </row>
    <row r="32" spans="2:8" ht="10.8" outlineLevel="1" thickTop="1" x14ac:dyDescent="0.2">
      <c r="B32" s="79" t="s">
        <v>962</v>
      </c>
      <c r="C32" s="347">
        <f t="shared" ref="C32:G32" si="5">C75</f>
        <v>0</v>
      </c>
      <c r="D32" s="347">
        <f t="shared" si="5"/>
        <v>32163</v>
      </c>
      <c r="E32" s="347">
        <f t="shared" si="5"/>
        <v>202006</v>
      </c>
      <c r="F32" s="347">
        <f t="shared" si="5"/>
        <v>26228</v>
      </c>
      <c r="G32" s="347">
        <f t="shared" si="5"/>
        <v>21114</v>
      </c>
      <c r="H32" s="347">
        <f t="shared" si="2"/>
        <v>281511</v>
      </c>
    </row>
    <row r="33" spans="2:8" s="342" customFormat="1" outlineLevel="1" x14ac:dyDescent="0.2">
      <c r="B33" s="340" t="s">
        <v>116</v>
      </c>
      <c r="C33" s="341">
        <f t="shared" ref="C33:G33" si="6">SUM(C34:C36)</f>
        <v>0</v>
      </c>
      <c r="D33" s="341">
        <f t="shared" si="6"/>
        <v>17746</v>
      </c>
      <c r="E33" s="341">
        <f t="shared" si="6"/>
        <v>148356</v>
      </c>
      <c r="F33" s="341">
        <f t="shared" si="6"/>
        <v>29963</v>
      </c>
      <c r="G33" s="341">
        <f t="shared" si="6"/>
        <v>20607</v>
      </c>
      <c r="H33" s="341">
        <f t="shared" si="2"/>
        <v>216672</v>
      </c>
    </row>
    <row r="34" spans="2:8" outlineLevel="1" x14ac:dyDescent="0.2">
      <c r="B34" s="343" t="s">
        <v>206</v>
      </c>
      <c r="C34" s="344">
        <v>0</v>
      </c>
      <c r="D34" s="344">
        <v>17746</v>
      </c>
      <c r="E34" s="344">
        <v>148356</v>
      </c>
      <c r="F34" s="344">
        <v>29963</v>
      </c>
      <c r="G34" s="344">
        <v>20607</v>
      </c>
      <c r="H34" s="344">
        <f t="shared" si="2"/>
        <v>216672</v>
      </c>
    </row>
    <row r="35" spans="2:8" hidden="1" outlineLevel="1" x14ac:dyDescent="0.2">
      <c r="B35" s="343" t="s">
        <v>201</v>
      </c>
      <c r="C35" s="344"/>
      <c r="D35" s="344"/>
      <c r="E35" s="344"/>
      <c r="F35" s="344"/>
      <c r="G35" s="344"/>
      <c r="H35" s="344">
        <f t="shared" si="2"/>
        <v>0</v>
      </c>
    </row>
    <row r="36" spans="2:8" hidden="1" outlineLevel="1" x14ac:dyDescent="0.2">
      <c r="B36" s="343" t="s">
        <v>637</v>
      </c>
      <c r="C36" s="344"/>
      <c r="D36" s="344"/>
      <c r="E36" s="344"/>
      <c r="F36" s="344"/>
      <c r="G36" s="344"/>
      <c r="H36" s="344">
        <f t="shared" si="2"/>
        <v>0</v>
      </c>
    </row>
    <row r="37" spans="2:8" s="342" customFormat="1" outlineLevel="1" x14ac:dyDescent="0.2">
      <c r="B37" s="340" t="s">
        <v>115</v>
      </c>
      <c r="C37" s="341">
        <f t="shared" ref="C37:G37" si="7">SUM(C38:C41)</f>
        <v>0</v>
      </c>
      <c r="D37" s="341">
        <f t="shared" si="7"/>
        <v>0</v>
      </c>
      <c r="E37" s="341">
        <f t="shared" si="7"/>
        <v>583</v>
      </c>
      <c r="F37" s="341">
        <f t="shared" si="7"/>
        <v>0</v>
      </c>
      <c r="G37" s="341">
        <f t="shared" si="7"/>
        <v>0</v>
      </c>
      <c r="H37" s="341">
        <f t="shared" si="2"/>
        <v>583</v>
      </c>
    </row>
    <row r="38" spans="2:8" outlineLevel="1" x14ac:dyDescent="0.2">
      <c r="B38" s="343" t="s">
        <v>203</v>
      </c>
      <c r="C38" s="344">
        <v>0</v>
      </c>
      <c r="D38" s="344">
        <v>0</v>
      </c>
      <c r="E38" s="344">
        <v>583</v>
      </c>
      <c r="F38" s="258">
        <v>0</v>
      </c>
      <c r="G38" s="344">
        <v>0</v>
      </c>
      <c r="H38" s="344">
        <f t="shared" si="2"/>
        <v>583</v>
      </c>
    </row>
    <row r="39" spans="2:8" hidden="1" outlineLevel="1" x14ac:dyDescent="0.2">
      <c r="B39" s="343" t="s">
        <v>207</v>
      </c>
      <c r="C39" s="344"/>
      <c r="D39" s="344"/>
      <c r="E39" s="344"/>
      <c r="F39" s="344"/>
      <c r="G39" s="344"/>
      <c r="H39" s="344">
        <f t="shared" si="2"/>
        <v>0</v>
      </c>
    </row>
    <row r="40" spans="2:8" hidden="1" outlineLevel="1" x14ac:dyDescent="0.2">
      <c r="B40" s="343" t="s">
        <v>201</v>
      </c>
      <c r="C40" s="344"/>
      <c r="D40" s="344"/>
      <c r="E40" s="344"/>
      <c r="F40" s="344"/>
      <c r="G40" s="344"/>
      <c r="H40" s="344">
        <f t="shared" si="2"/>
        <v>0</v>
      </c>
    </row>
    <row r="41" spans="2:8" hidden="1" outlineLevel="1" x14ac:dyDescent="0.2">
      <c r="B41" s="343" t="s">
        <v>637</v>
      </c>
      <c r="C41" s="344"/>
      <c r="D41" s="344"/>
      <c r="E41" s="344"/>
      <c r="F41" s="344"/>
      <c r="G41" s="344"/>
      <c r="H41" s="344">
        <f t="shared" si="2"/>
        <v>0</v>
      </c>
    </row>
    <row r="42" spans="2:8" ht="10.8" outlineLevel="1" thickBot="1" x14ac:dyDescent="0.25">
      <c r="B42" s="79" t="s">
        <v>963</v>
      </c>
      <c r="C42" s="348">
        <f t="shared" ref="C42:G42" si="8">C32+C33-C37</f>
        <v>0</v>
      </c>
      <c r="D42" s="348">
        <f t="shared" si="8"/>
        <v>49909</v>
      </c>
      <c r="E42" s="348">
        <f t="shared" si="8"/>
        <v>349779</v>
      </c>
      <c r="F42" s="348">
        <f t="shared" si="8"/>
        <v>56191</v>
      </c>
      <c r="G42" s="348">
        <f t="shared" si="8"/>
        <v>41721</v>
      </c>
      <c r="H42" s="348">
        <f t="shared" si="2"/>
        <v>497600</v>
      </c>
    </row>
    <row r="43" spans="2:8" ht="11.4" outlineLevel="1" thickTop="1" thickBot="1" x14ac:dyDescent="0.25">
      <c r="B43" s="555" t="s">
        <v>964</v>
      </c>
      <c r="C43" s="399">
        <f>C31-C42</f>
        <v>0</v>
      </c>
      <c r="D43" s="399">
        <f t="shared" ref="D43:G43" si="9">D31-D42</f>
        <v>124807</v>
      </c>
      <c r="E43" s="399">
        <f t="shared" si="9"/>
        <v>492294</v>
      </c>
      <c r="F43" s="399">
        <f t="shared" si="9"/>
        <v>122209</v>
      </c>
      <c r="G43" s="399">
        <f t="shared" si="9"/>
        <v>115292</v>
      </c>
      <c r="H43" s="399">
        <f>H31-H42</f>
        <v>854602</v>
      </c>
    </row>
    <row r="44" spans="2:8" s="342" customFormat="1" ht="10.8" outlineLevel="1" thickTop="1" x14ac:dyDescent="0.2">
      <c r="B44" s="322"/>
      <c r="C44" s="322"/>
      <c r="D44" s="322"/>
      <c r="E44" s="322"/>
      <c r="F44" s="322"/>
      <c r="G44" s="322"/>
      <c r="H44" s="401">
        <f>Aktywa!D4</f>
        <v>854602</v>
      </c>
    </row>
    <row r="45" spans="2:8" outlineLevel="1" x14ac:dyDescent="0.2">
      <c r="B45" s="625" t="s">
        <v>857</v>
      </c>
      <c r="C45" s="323"/>
      <c r="D45" s="323"/>
      <c r="E45" s="323"/>
      <c r="F45" s="323"/>
      <c r="G45" s="323"/>
      <c r="H45" s="323"/>
    </row>
    <row r="46" spans="2:8" outlineLevel="1" x14ac:dyDescent="0.2">
      <c r="B46" s="325"/>
      <c r="C46" s="323"/>
      <c r="D46" s="323"/>
      <c r="E46" s="323"/>
      <c r="F46" s="323"/>
      <c r="G46" s="323"/>
      <c r="H46" s="323"/>
    </row>
    <row r="47" spans="2:8" s="342" customFormat="1" ht="30.6" outlineLevel="1" x14ac:dyDescent="0.2">
      <c r="B47" s="278" t="s">
        <v>416</v>
      </c>
      <c r="C47" s="336" t="s">
        <v>420</v>
      </c>
      <c r="D47" s="337" t="s">
        <v>421</v>
      </c>
      <c r="E47" s="336" t="s">
        <v>422</v>
      </c>
      <c r="F47" s="337" t="s">
        <v>656</v>
      </c>
      <c r="G47" s="336" t="s">
        <v>657</v>
      </c>
      <c r="H47" s="338" t="s">
        <v>26</v>
      </c>
    </row>
    <row r="48" spans="2:8" outlineLevel="1" x14ac:dyDescent="0.2">
      <c r="B48" s="125" t="s">
        <v>858</v>
      </c>
      <c r="C48" s="339">
        <v>0</v>
      </c>
      <c r="D48" s="339">
        <v>126881</v>
      </c>
      <c r="E48" s="339">
        <v>395351</v>
      </c>
      <c r="F48" s="339">
        <v>61642</v>
      </c>
      <c r="G48" s="339">
        <v>35210</v>
      </c>
      <c r="H48" s="155">
        <f>SUM(C48:G48)</f>
        <v>619084</v>
      </c>
    </row>
    <row r="49" spans="2:9" outlineLevel="1" x14ac:dyDescent="0.2">
      <c r="B49" s="340" t="s">
        <v>116</v>
      </c>
      <c r="C49" s="341">
        <f>SUM(C50:C56)</f>
        <v>0</v>
      </c>
      <c r="D49" s="341">
        <f t="shared" ref="D49:G49" si="10">SUM(D50:D56)</f>
        <v>53435</v>
      </c>
      <c r="E49" s="341">
        <f t="shared" si="10"/>
        <v>306998</v>
      </c>
      <c r="F49" s="341">
        <f t="shared" si="10"/>
        <v>64906</v>
      </c>
      <c r="G49" s="341">
        <f t="shared" si="10"/>
        <v>74656</v>
      </c>
      <c r="H49" s="155">
        <f>SUM(C49:G49)</f>
        <v>499995</v>
      </c>
    </row>
    <row r="50" spans="2:9" outlineLevel="1" x14ac:dyDescent="0.2">
      <c r="B50" s="343" t="s">
        <v>198</v>
      </c>
      <c r="C50" s="344">
        <v>0</v>
      </c>
      <c r="D50" s="344">
        <v>53435</v>
      </c>
      <c r="E50" s="344">
        <v>306998</v>
      </c>
      <c r="F50" s="344">
        <v>64906</v>
      </c>
      <c r="G50" s="344">
        <v>74656</v>
      </c>
      <c r="H50" s="282">
        <f>SUM(C50:G50)</f>
        <v>499995</v>
      </c>
    </row>
    <row r="51" spans="2:9" hidden="1" outlineLevel="1" x14ac:dyDescent="0.2">
      <c r="B51" s="343" t="s">
        <v>199</v>
      </c>
      <c r="C51" s="344"/>
      <c r="D51" s="344"/>
      <c r="E51" s="344"/>
      <c r="F51" s="344"/>
      <c r="G51" s="344"/>
      <c r="H51" s="282">
        <v>0</v>
      </c>
    </row>
    <row r="52" spans="2:9" ht="12" hidden="1" customHeight="1" outlineLevel="1" x14ac:dyDescent="0.2">
      <c r="B52" s="343" t="s">
        <v>194</v>
      </c>
      <c r="C52" s="344"/>
      <c r="D52" s="344"/>
      <c r="E52" s="344"/>
      <c r="F52" s="344"/>
      <c r="G52" s="344"/>
      <c r="H52" s="282">
        <v>0</v>
      </c>
    </row>
    <row r="53" spans="2:9" s="327" customFormat="1" hidden="1" outlineLevel="1" x14ac:dyDescent="0.2">
      <c r="B53" s="343" t="s">
        <v>200</v>
      </c>
      <c r="C53" s="344"/>
      <c r="D53" s="344"/>
      <c r="E53" s="344"/>
      <c r="F53" s="344"/>
      <c r="G53" s="344"/>
      <c r="H53" s="282">
        <v>0</v>
      </c>
    </row>
    <row r="54" spans="2:9" hidden="1" collapsed="1" x14ac:dyDescent="0.2">
      <c r="B54" s="343" t="s">
        <v>201</v>
      </c>
      <c r="C54" s="344"/>
      <c r="D54" s="344"/>
      <c r="E54" s="344"/>
      <c r="F54" s="344"/>
      <c r="G54" s="344"/>
      <c r="H54" s="282">
        <v>0</v>
      </c>
      <c r="I54" s="401"/>
    </row>
    <row r="55" spans="2:9" hidden="1" x14ac:dyDescent="0.2">
      <c r="B55" s="457" t="s">
        <v>646</v>
      </c>
      <c r="C55" s="344"/>
      <c r="D55" s="344"/>
      <c r="E55" s="344"/>
      <c r="F55" s="344"/>
      <c r="G55" s="344"/>
      <c r="H55" s="282">
        <v>0</v>
      </c>
      <c r="I55" s="323"/>
    </row>
    <row r="56" spans="2:9" hidden="1" x14ac:dyDescent="0.2">
      <c r="B56" s="343" t="s">
        <v>637</v>
      </c>
      <c r="C56" s="344"/>
      <c r="D56" s="344"/>
      <c r="E56" s="344"/>
      <c r="F56" s="344"/>
      <c r="G56" s="344"/>
      <c r="H56" s="282">
        <v>0</v>
      </c>
      <c r="I56" s="323"/>
    </row>
    <row r="57" spans="2:9" outlineLevel="1" x14ac:dyDescent="0.2">
      <c r="B57" s="340" t="s">
        <v>115</v>
      </c>
      <c r="C57" s="341">
        <f>SUM(C58:C63)</f>
        <v>0</v>
      </c>
      <c r="D57" s="341">
        <f t="shared" ref="D57:G57" si="11">SUM(D58:D63)</f>
        <v>12600</v>
      </c>
      <c r="E57" s="341">
        <f t="shared" si="11"/>
        <v>25931</v>
      </c>
      <c r="F57" s="341">
        <f t="shared" si="11"/>
        <v>4000</v>
      </c>
      <c r="G57" s="341">
        <f t="shared" si="11"/>
        <v>2800</v>
      </c>
      <c r="H57" s="285">
        <f>SUM(C57:G57)</f>
        <v>45331</v>
      </c>
    </row>
    <row r="58" spans="2:9" s="327" customFormat="1" ht="18.899999999999999" hidden="1" customHeight="1" outlineLevel="1" x14ac:dyDescent="0.2">
      <c r="B58" s="343" t="s">
        <v>202</v>
      </c>
      <c r="C58" s="344"/>
      <c r="D58" s="344"/>
      <c r="E58" s="344"/>
      <c r="F58" s="344"/>
      <c r="G58" s="344"/>
      <c r="H58" s="282">
        <v>0</v>
      </c>
    </row>
    <row r="59" spans="2:9" outlineLevel="1" x14ac:dyDescent="0.2">
      <c r="B59" s="343" t="s">
        <v>203</v>
      </c>
      <c r="C59" s="344">
        <v>0</v>
      </c>
      <c r="D59" s="344">
        <v>12600</v>
      </c>
      <c r="E59" s="344">
        <v>25931</v>
      </c>
      <c r="F59" s="344">
        <v>4000</v>
      </c>
      <c r="G59" s="344">
        <v>2800</v>
      </c>
      <c r="H59" s="282">
        <f>SUM(C59:G59)</f>
        <v>45331</v>
      </c>
    </row>
    <row r="60" spans="2:9" hidden="1" outlineLevel="1" x14ac:dyDescent="0.2">
      <c r="B60" s="343" t="s">
        <v>204</v>
      </c>
      <c r="C60" s="344"/>
      <c r="D60" s="344"/>
      <c r="E60" s="344"/>
      <c r="F60" s="344"/>
      <c r="G60" s="344"/>
      <c r="H60" s="282">
        <v>0</v>
      </c>
    </row>
    <row r="61" spans="2:9" hidden="1" outlineLevel="1" x14ac:dyDescent="0.2">
      <c r="B61" s="343" t="s">
        <v>201</v>
      </c>
      <c r="C61" s="344"/>
      <c r="D61" s="344"/>
      <c r="E61" s="344"/>
      <c r="F61" s="344"/>
      <c r="G61" s="344"/>
      <c r="H61" s="282">
        <v>0</v>
      </c>
    </row>
    <row r="62" spans="2:9" hidden="1" outlineLevel="1" x14ac:dyDescent="0.2">
      <c r="B62" s="343" t="s">
        <v>205</v>
      </c>
      <c r="C62" s="344"/>
      <c r="D62" s="344"/>
      <c r="E62" s="344"/>
      <c r="F62" s="344"/>
      <c r="G62" s="344"/>
      <c r="H62" s="282">
        <v>0</v>
      </c>
    </row>
    <row r="63" spans="2:9" hidden="1" outlineLevel="1" x14ac:dyDescent="0.2">
      <c r="B63" s="343" t="s">
        <v>637</v>
      </c>
      <c r="C63" s="344"/>
      <c r="D63" s="344"/>
      <c r="E63" s="344"/>
      <c r="F63" s="344"/>
      <c r="G63" s="344"/>
      <c r="H63" s="282">
        <v>0</v>
      </c>
    </row>
    <row r="64" spans="2:9" ht="10.8" outlineLevel="1" thickBot="1" x14ac:dyDescent="0.25">
      <c r="B64" s="555" t="s">
        <v>859</v>
      </c>
      <c r="C64" s="346">
        <f>C48+C49-C57</f>
        <v>0</v>
      </c>
      <c r="D64" s="346">
        <f t="shared" ref="D64:G64" si="12">D48+D49-D57</f>
        <v>167716</v>
      </c>
      <c r="E64" s="346">
        <f t="shared" si="12"/>
        <v>676418</v>
      </c>
      <c r="F64" s="346">
        <f t="shared" si="12"/>
        <v>122548</v>
      </c>
      <c r="G64" s="346">
        <f t="shared" si="12"/>
        <v>107066</v>
      </c>
      <c r="H64" s="476">
        <f>SUM(C64:G64)</f>
        <v>1073748</v>
      </c>
    </row>
    <row r="65" spans="2:8" ht="10.8" outlineLevel="1" thickTop="1" x14ac:dyDescent="0.2">
      <c r="B65" s="73" t="s">
        <v>861</v>
      </c>
      <c r="C65" s="347">
        <v>0</v>
      </c>
      <c r="D65" s="347">
        <v>17568</v>
      </c>
      <c r="E65" s="347">
        <v>117603</v>
      </c>
      <c r="F65" s="347">
        <v>3082</v>
      </c>
      <c r="G65" s="347">
        <v>13083</v>
      </c>
      <c r="H65" s="155">
        <f>SUM(C65:G65)</f>
        <v>151336</v>
      </c>
    </row>
    <row r="66" spans="2:8" outlineLevel="1" x14ac:dyDescent="0.2">
      <c r="B66" s="340" t="s">
        <v>116</v>
      </c>
      <c r="C66" s="341">
        <f>SUM(C67:C69)</f>
        <v>0</v>
      </c>
      <c r="D66" s="341">
        <f t="shared" ref="D66:G66" si="13">SUM(D67:D69)</f>
        <v>15855</v>
      </c>
      <c r="E66" s="341">
        <f t="shared" si="13"/>
        <v>105085</v>
      </c>
      <c r="F66" s="341">
        <f t="shared" si="13"/>
        <v>23146</v>
      </c>
      <c r="G66" s="341">
        <f t="shared" si="13"/>
        <v>14831</v>
      </c>
      <c r="H66" s="155">
        <f t="shared" ref="H66:H76" si="14">SUM(C66:G66)</f>
        <v>158917</v>
      </c>
    </row>
    <row r="67" spans="2:8" outlineLevel="1" x14ac:dyDescent="0.2">
      <c r="B67" s="343" t="s">
        <v>206</v>
      </c>
      <c r="C67" s="344">
        <v>0</v>
      </c>
      <c r="D67" s="344">
        <v>15855</v>
      </c>
      <c r="E67" s="344">
        <v>105085</v>
      </c>
      <c r="F67" s="344">
        <v>23146</v>
      </c>
      <c r="G67" s="344">
        <v>14831</v>
      </c>
      <c r="H67" s="155">
        <f t="shared" si="14"/>
        <v>158917</v>
      </c>
    </row>
    <row r="68" spans="2:8" hidden="1" outlineLevel="1" x14ac:dyDescent="0.2">
      <c r="B68" s="343" t="s">
        <v>201</v>
      </c>
      <c r="C68" s="344"/>
      <c r="D68" s="344"/>
      <c r="E68" s="344"/>
      <c r="F68" s="344"/>
      <c r="G68" s="344"/>
      <c r="H68" s="155">
        <f t="shared" si="14"/>
        <v>0</v>
      </c>
    </row>
    <row r="69" spans="2:8" hidden="1" outlineLevel="1" x14ac:dyDescent="0.2">
      <c r="B69" s="343" t="s">
        <v>637</v>
      </c>
      <c r="C69" s="344"/>
      <c r="D69" s="344"/>
      <c r="E69" s="344"/>
      <c r="F69" s="344"/>
      <c r="G69" s="344"/>
      <c r="H69" s="155">
        <f t="shared" si="14"/>
        <v>0</v>
      </c>
    </row>
    <row r="70" spans="2:8" outlineLevel="1" x14ac:dyDescent="0.2">
      <c r="B70" s="340" t="s">
        <v>115</v>
      </c>
      <c r="C70" s="341">
        <f>SUM(C71:C74)</f>
        <v>0</v>
      </c>
      <c r="D70" s="341">
        <f t="shared" ref="D70:G70" si="15">SUM(D71:D74)</f>
        <v>1260</v>
      </c>
      <c r="E70" s="341">
        <f t="shared" si="15"/>
        <v>20682</v>
      </c>
      <c r="F70" s="341">
        <f t="shared" si="15"/>
        <v>0</v>
      </c>
      <c r="G70" s="341">
        <f t="shared" si="15"/>
        <v>6800</v>
      </c>
      <c r="H70" s="155">
        <f t="shared" si="14"/>
        <v>28742</v>
      </c>
    </row>
    <row r="71" spans="2:8" outlineLevel="1" x14ac:dyDescent="0.2">
      <c r="B71" s="343" t="s">
        <v>203</v>
      </c>
      <c r="C71" s="344">
        <v>0</v>
      </c>
      <c r="D71" s="344">
        <v>1260</v>
      </c>
      <c r="E71" s="344">
        <v>20682</v>
      </c>
      <c r="F71" s="344">
        <v>0</v>
      </c>
      <c r="G71" s="344">
        <v>6800</v>
      </c>
      <c r="H71" s="155">
        <f t="shared" si="14"/>
        <v>28742</v>
      </c>
    </row>
    <row r="72" spans="2:8" hidden="1" outlineLevel="1" x14ac:dyDescent="0.2">
      <c r="B72" s="343" t="s">
        <v>207</v>
      </c>
      <c r="C72" s="344"/>
      <c r="D72" s="344"/>
      <c r="E72" s="344"/>
      <c r="F72" s="344"/>
      <c r="G72" s="344"/>
      <c r="H72" s="155">
        <f t="shared" si="14"/>
        <v>0</v>
      </c>
    </row>
    <row r="73" spans="2:8" hidden="1" outlineLevel="1" x14ac:dyDescent="0.2">
      <c r="B73" s="343" t="s">
        <v>201</v>
      </c>
      <c r="C73" s="344"/>
      <c r="D73" s="344"/>
      <c r="E73" s="344"/>
      <c r="F73" s="344"/>
      <c r="G73" s="344"/>
      <c r="H73" s="155">
        <f t="shared" si="14"/>
        <v>0</v>
      </c>
    </row>
    <row r="74" spans="2:8" s="327" customFormat="1" hidden="1" outlineLevel="1" x14ac:dyDescent="0.2">
      <c r="B74" s="343" t="s">
        <v>637</v>
      </c>
      <c r="C74" s="344"/>
      <c r="D74" s="344"/>
      <c r="E74" s="344"/>
      <c r="F74" s="344"/>
      <c r="G74" s="344"/>
      <c r="H74" s="155">
        <f t="shared" si="14"/>
        <v>0</v>
      </c>
    </row>
    <row r="75" spans="2:8" ht="10.8" outlineLevel="1" thickBot="1" x14ac:dyDescent="0.25">
      <c r="B75" s="555" t="s">
        <v>862</v>
      </c>
      <c r="C75" s="348">
        <f>C65+C66-C70</f>
        <v>0</v>
      </c>
      <c r="D75" s="348">
        <f t="shared" ref="D75:G75" si="16">D65+D66-D70</f>
        <v>32163</v>
      </c>
      <c r="E75" s="348">
        <f t="shared" si="16"/>
        <v>202006</v>
      </c>
      <c r="F75" s="348">
        <f t="shared" si="16"/>
        <v>26228</v>
      </c>
      <c r="G75" s="348">
        <f t="shared" si="16"/>
        <v>21114</v>
      </c>
      <c r="H75" s="155">
        <f t="shared" si="14"/>
        <v>281511</v>
      </c>
    </row>
    <row r="76" spans="2:8" ht="12.75" customHeight="1" outlineLevel="1" thickTop="1" thickBot="1" x14ac:dyDescent="0.25">
      <c r="B76" s="555" t="s">
        <v>863</v>
      </c>
      <c r="C76" s="346">
        <f>C64-C75</f>
        <v>0</v>
      </c>
      <c r="D76" s="346">
        <f t="shared" ref="D76:G76" si="17">D64-D75</f>
        <v>135553</v>
      </c>
      <c r="E76" s="346">
        <f t="shared" si="17"/>
        <v>474412</v>
      </c>
      <c r="F76" s="346">
        <f t="shared" si="17"/>
        <v>96320</v>
      </c>
      <c r="G76" s="346">
        <f t="shared" si="17"/>
        <v>85952</v>
      </c>
      <c r="H76" s="155">
        <f t="shared" si="14"/>
        <v>792237</v>
      </c>
    </row>
    <row r="77" spans="2:8" ht="10.8" outlineLevel="1" thickTop="1" x14ac:dyDescent="0.2"/>
    <row r="78" spans="2:8" outlineLevel="1" x14ac:dyDescent="0.2"/>
    <row r="79" spans="2:8" outlineLevel="1" x14ac:dyDescent="0.2"/>
    <row r="80" spans="2:8" outlineLevel="1" x14ac:dyDescent="0.2"/>
    <row r="81" spans="2:8" outlineLevel="1" x14ac:dyDescent="0.2"/>
    <row r="82" spans="2:8" outlineLevel="1" x14ac:dyDescent="0.2"/>
    <row r="83" spans="2:8" outlineLevel="1" x14ac:dyDescent="0.2"/>
    <row r="84" spans="2:8" outlineLevel="1" x14ac:dyDescent="0.2"/>
    <row r="85" spans="2:8" outlineLevel="1" x14ac:dyDescent="0.2"/>
    <row r="86" spans="2:8" ht="11.25" customHeight="1" outlineLevel="1" x14ac:dyDescent="0.2"/>
    <row r="87" spans="2:8" ht="12.75" customHeight="1" outlineLevel="1" x14ac:dyDescent="0.2"/>
    <row r="88" spans="2:8" ht="11.25" customHeight="1" outlineLevel="1" x14ac:dyDescent="0.2"/>
    <row r="89" spans="2:8" ht="11.25" customHeight="1" outlineLevel="1" x14ac:dyDescent="0.2"/>
    <row r="90" spans="2:8" ht="12.75" customHeight="1" outlineLevel="1" x14ac:dyDescent="0.2"/>
    <row r="91" spans="2:8" outlineLevel="1" x14ac:dyDescent="0.2"/>
    <row r="92" spans="2:8" outlineLevel="1" x14ac:dyDescent="0.2"/>
    <row r="93" spans="2:8" outlineLevel="1" x14ac:dyDescent="0.2"/>
    <row r="94" spans="2:8" outlineLevel="1" x14ac:dyDescent="0.2"/>
    <row r="95" spans="2:8" ht="13.65" customHeight="1" outlineLevel="1" x14ac:dyDescent="0.2"/>
    <row r="96" spans="2:8" s="327" customFormat="1" outlineLevel="1" x14ac:dyDescent="0.2">
      <c r="B96" s="322"/>
      <c r="C96" s="322"/>
      <c r="D96" s="322"/>
      <c r="E96" s="322"/>
      <c r="F96" s="322"/>
      <c r="G96" s="322"/>
      <c r="H96" s="322"/>
    </row>
    <row r="97" spans="2:9" s="327" customFormat="1" outlineLevel="1" x14ac:dyDescent="0.2">
      <c r="B97" s="322"/>
      <c r="C97" s="322"/>
      <c r="D97" s="322"/>
      <c r="E97" s="322"/>
      <c r="F97" s="322"/>
      <c r="G97" s="322"/>
      <c r="H97" s="322"/>
      <c r="I97" s="554"/>
    </row>
    <row r="102" spans="2:9" s="327" customFormat="1" ht="11.25" customHeight="1" x14ac:dyDescent="0.2">
      <c r="B102" s="322"/>
      <c r="C102" s="322"/>
      <c r="D102" s="322"/>
      <c r="E102" s="322"/>
      <c r="F102" s="322"/>
      <c r="G102" s="322"/>
      <c r="H102" s="322"/>
    </row>
    <row r="103" spans="2:9" s="327" customFormat="1" x14ac:dyDescent="0.2">
      <c r="B103" s="322"/>
      <c r="C103" s="322"/>
      <c r="D103" s="322"/>
      <c r="E103" s="322"/>
      <c r="F103" s="322"/>
      <c r="G103" s="322"/>
      <c r="H103" s="322"/>
    </row>
    <row r="104" spans="2:9" s="327" customFormat="1" ht="22.65" customHeight="1" x14ac:dyDescent="0.2">
      <c r="B104" s="322"/>
      <c r="C104" s="322"/>
      <c r="D104" s="322"/>
      <c r="E104" s="322"/>
      <c r="F104" s="322"/>
      <c r="G104" s="322"/>
      <c r="H104" s="322"/>
    </row>
    <row r="108" spans="2:9" ht="12.75" customHeight="1" x14ac:dyDescent="0.2"/>
    <row r="110" spans="2:9" ht="17.25" customHeight="1" x14ac:dyDescent="0.2"/>
    <row r="114" spans="2:8" ht="11.25" customHeight="1" x14ac:dyDescent="0.2"/>
    <row r="124" spans="2:8" s="327" customFormat="1" x14ac:dyDescent="0.2">
      <c r="B124" s="322"/>
      <c r="C124" s="322"/>
      <c r="D124" s="322"/>
      <c r="E124" s="322"/>
      <c r="F124" s="322"/>
      <c r="G124" s="322"/>
      <c r="H124" s="322"/>
    </row>
    <row r="125" spans="2:8" s="327" customFormat="1" x14ac:dyDescent="0.2">
      <c r="B125" s="322"/>
      <c r="C125" s="322"/>
      <c r="D125" s="322"/>
      <c r="E125" s="322"/>
      <c r="F125" s="322"/>
      <c r="G125" s="322"/>
      <c r="H125" s="322"/>
    </row>
    <row r="145" ht="11.25" customHeight="1" x14ac:dyDescent="0.2"/>
    <row r="146" ht="11.25" customHeight="1" x14ac:dyDescent="0.2"/>
    <row r="151" ht="11.25" customHeight="1" x14ac:dyDescent="0.2"/>
    <row r="152" ht="11.25" customHeight="1" x14ac:dyDescent="0.2"/>
    <row r="157" ht="11.25" customHeight="1" x14ac:dyDescent="0.2"/>
  </sheetData>
  <phoneticPr fontId="27" type="noConversion"/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headerFooter alignWithMargins="0"/>
  <rowBreaks count="1" manualBreakCount="1">
    <brk id="53" min="1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0"/>
  </sheetPr>
  <dimension ref="B1:J117"/>
  <sheetViews>
    <sheetView showGridLines="0" view="pageBreakPreview" zoomScale="107" zoomScaleNormal="100" zoomScaleSheetLayoutView="107" workbookViewId="0">
      <selection activeCell="A60" sqref="A60:XFD81"/>
    </sheetView>
  </sheetViews>
  <sheetFormatPr defaultColWidth="9.109375" defaultRowHeight="10.199999999999999" outlineLevelRow="1" x14ac:dyDescent="0.2"/>
  <cols>
    <col min="1" max="1" width="3.44140625" style="149" customWidth="1"/>
    <col min="2" max="2" width="41.33203125" style="149" customWidth="1"/>
    <col min="3" max="8" width="14.6640625" style="149" customWidth="1"/>
    <col min="9" max="9" width="11.33203125" style="149" customWidth="1"/>
    <col min="10" max="16384" width="9.109375" style="149"/>
  </cols>
  <sheetData>
    <row r="1" spans="2:8" x14ac:dyDescent="0.2">
      <c r="B1" s="265"/>
    </row>
    <row r="2" spans="2:8" s="56" customFormat="1" ht="16.5" customHeight="1" x14ac:dyDescent="0.25">
      <c r="B2" s="534" t="s">
        <v>970</v>
      </c>
    </row>
    <row r="3" spans="2:8" s="56" customFormat="1" ht="12" customHeight="1" x14ac:dyDescent="0.2">
      <c r="B3" s="46"/>
    </row>
    <row r="4" spans="2:8" s="56" customFormat="1" x14ac:dyDescent="0.2">
      <c r="B4" s="66" t="s">
        <v>891</v>
      </c>
    </row>
    <row r="5" spans="2:8" s="56" customFormat="1" ht="10.8" thickBot="1" x14ac:dyDescent="0.25">
      <c r="B5" s="66"/>
    </row>
    <row r="6" spans="2:8" s="56" customFormat="1" ht="31.2" thickBot="1" x14ac:dyDescent="0.25">
      <c r="B6" s="726" t="s">
        <v>416</v>
      </c>
      <c r="C6" s="727" t="s">
        <v>971</v>
      </c>
      <c r="D6" s="728" t="s">
        <v>942</v>
      </c>
      <c r="E6" s="727" t="s">
        <v>941</v>
      </c>
      <c r="F6" s="727" t="s">
        <v>940</v>
      </c>
      <c r="G6" s="727" t="s">
        <v>286</v>
      </c>
      <c r="H6" s="727" t="s">
        <v>491</v>
      </c>
    </row>
    <row r="7" spans="2:8" s="56" customFormat="1" ht="10.8" thickBot="1" x14ac:dyDescent="0.25">
      <c r="B7" s="729" t="s">
        <v>960</v>
      </c>
      <c r="C7" s="730">
        <v>107770</v>
      </c>
      <c r="D7" s="731">
        <v>0</v>
      </c>
      <c r="E7" s="731">
        <v>0</v>
      </c>
      <c r="F7" s="730">
        <v>11319101</v>
      </c>
      <c r="G7" s="731">
        <v>0</v>
      </c>
      <c r="H7" s="477">
        <f>SUM(C7:G7)</f>
        <v>11426871</v>
      </c>
    </row>
    <row r="8" spans="2:8" s="56" customFormat="1" ht="10.8" thickBot="1" x14ac:dyDescent="0.25">
      <c r="B8" s="732" t="s">
        <v>116</v>
      </c>
      <c r="C8" s="733">
        <f>SUM(C9:C10)</f>
        <v>1114604</v>
      </c>
      <c r="D8" s="733">
        <f t="shared" ref="D8:G8" si="0">SUM(D9:D10)</f>
        <v>0</v>
      </c>
      <c r="E8" s="733">
        <f t="shared" si="0"/>
        <v>0</v>
      </c>
      <c r="F8" s="733">
        <f t="shared" si="0"/>
        <v>1150237</v>
      </c>
      <c r="G8" s="733">
        <f t="shared" si="0"/>
        <v>0</v>
      </c>
      <c r="H8" s="477">
        <f>SUM(C8:G8)</f>
        <v>2264841</v>
      </c>
    </row>
    <row r="9" spans="2:8" s="56" customFormat="1" ht="10.8" thickBot="1" x14ac:dyDescent="0.25">
      <c r="B9" s="735" t="s">
        <v>572</v>
      </c>
      <c r="C9" s="736">
        <v>0</v>
      </c>
      <c r="D9" s="736">
        <v>0</v>
      </c>
      <c r="E9" s="736">
        <v>0</v>
      </c>
      <c r="F9" s="737">
        <v>1150237</v>
      </c>
      <c r="G9" s="736">
        <v>0</v>
      </c>
      <c r="H9" s="641">
        <f t="shared" ref="H9:H10" si="1">SUM(C9:G9)</f>
        <v>1150237</v>
      </c>
    </row>
    <row r="10" spans="2:8" s="56" customFormat="1" ht="10.8" thickBot="1" x14ac:dyDescent="0.25">
      <c r="B10" s="735" t="s">
        <v>938</v>
      </c>
      <c r="C10" s="737">
        <v>1114604</v>
      </c>
      <c r="D10" s="736">
        <v>0</v>
      </c>
      <c r="E10" s="736">
        <v>0</v>
      </c>
      <c r="F10" s="736">
        <v>0</v>
      </c>
      <c r="G10" s="736">
        <v>0</v>
      </c>
      <c r="H10" s="641">
        <f t="shared" si="1"/>
        <v>1114604</v>
      </c>
    </row>
    <row r="11" spans="2:8" s="56" customFormat="1" ht="10.8" thickBot="1" x14ac:dyDescent="0.25">
      <c r="B11" s="732" t="s">
        <v>115</v>
      </c>
      <c r="C11" s="734">
        <f>C12</f>
        <v>0</v>
      </c>
      <c r="D11" s="734">
        <f t="shared" ref="D11:G11" si="2">D12</f>
        <v>0</v>
      </c>
      <c r="E11" s="734">
        <f t="shared" si="2"/>
        <v>0</v>
      </c>
      <c r="F11" s="734">
        <f t="shared" si="2"/>
        <v>0</v>
      </c>
      <c r="G11" s="734">
        <f t="shared" si="2"/>
        <v>0</v>
      </c>
      <c r="H11" s="734">
        <v>0</v>
      </c>
    </row>
    <row r="12" spans="2:8" s="56" customFormat="1" ht="10.8" thickBot="1" x14ac:dyDescent="0.25">
      <c r="B12" s="735" t="s">
        <v>203</v>
      </c>
      <c r="C12" s="736">
        <v>0</v>
      </c>
      <c r="D12" s="736">
        <v>0</v>
      </c>
      <c r="E12" s="736">
        <v>0</v>
      </c>
      <c r="F12" s="736">
        <v>0</v>
      </c>
      <c r="G12" s="736">
        <v>0</v>
      </c>
      <c r="H12" s="641">
        <f>SUM(C12:G12)</f>
        <v>0</v>
      </c>
    </row>
    <row r="13" spans="2:8" s="56" customFormat="1" ht="10.8" thickBot="1" x14ac:dyDescent="0.25">
      <c r="B13" s="738" t="s">
        <v>961</v>
      </c>
      <c r="C13" s="739">
        <f>C7+C8-C11</f>
        <v>1222374</v>
      </c>
      <c r="D13" s="739">
        <f t="shared" ref="D13:G13" si="3">D7+D8-D11</f>
        <v>0</v>
      </c>
      <c r="E13" s="739">
        <f t="shared" si="3"/>
        <v>0</v>
      </c>
      <c r="F13" s="739">
        <f t="shared" si="3"/>
        <v>12469338</v>
      </c>
      <c r="G13" s="739">
        <f t="shared" si="3"/>
        <v>0</v>
      </c>
      <c r="H13" s="477">
        <f t="shared" ref="H13:H15" si="4">SUM(C13:G13)</f>
        <v>13691712</v>
      </c>
    </row>
    <row r="14" spans="2:8" s="56" customFormat="1" ht="11.4" thickTop="1" thickBot="1" x14ac:dyDescent="0.25">
      <c r="B14" s="729" t="s">
        <v>962</v>
      </c>
      <c r="C14" s="730">
        <v>8981</v>
      </c>
      <c r="D14" s="731">
        <v>0</v>
      </c>
      <c r="E14" s="731">
        <v>0</v>
      </c>
      <c r="F14" s="730">
        <v>1171485</v>
      </c>
      <c r="G14" s="731">
        <v>0</v>
      </c>
      <c r="H14" s="477">
        <f t="shared" si="4"/>
        <v>1180466</v>
      </c>
    </row>
    <row r="15" spans="2:8" s="56" customFormat="1" ht="10.8" thickBot="1" x14ac:dyDescent="0.25">
      <c r="B15" s="732" t="s">
        <v>116</v>
      </c>
      <c r="C15" s="733">
        <f>C16</f>
        <v>21554</v>
      </c>
      <c r="D15" s="733">
        <f t="shared" ref="D15:G15" si="5">D16</f>
        <v>0</v>
      </c>
      <c r="E15" s="733">
        <f t="shared" si="5"/>
        <v>0</v>
      </c>
      <c r="F15" s="733">
        <f t="shared" si="5"/>
        <v>606963</v>
      </c>
      <c r="G15" s="733">
        <f t="shared" si="5"/>
        <v>0</v>
      </c>
      <c r="H15" s="477">
        <f t="shared" si="4"/>
        <v>628517</v>
      </c>
    </row>
    <row r="16" spans="2:8" s="56" customFormat="1" ht="10.8" thickBot="1" x14ac:dyDescent="0.25">
      <c r="B16" s="735" t="s">
        <v>206</v>
      </c>
      <c r="C16" s="737">
        <v>21554</v>
      </c>
      <c r="D16" s="736">
        <v>0</v>
      </c>
      <c r="E16" s="736">
        <v>0</v>
      </c>
      <c r="F16" s="737">
        <v>606963</v>
      </c>
      <c r="G16" s="736">
        <v>0</v>
      </c>
      <c r="H16" s="641">
        <f>SUM(C16:G16)</f>
        <v>628517</v>
      </c>
    </row>
    <row r="17" spans="2:9" s="132" customFormat="1" ht="10.8" outlineLevel="1" thickBot="1" x14ac:dyDescent="0.25">
      <c r="B17" s="732" t="s">
        <v>115</v>
      </c>
      <c r="C17" s="734">
        <f>C18</f>
        <v>0</v>
      </c>
      <c r="D17" s="734">
        <f t="shared" ref="D17:G17" si="6">D18</f>
        <v>0</v>
      </c>
      <c r="E17" s="734">
        <f t="shared" si="6"/>
        <v>0</v>
      </c>
      <c r="F17" s="734">
        <f t="shared" si="6"/>
        <v>0</v>
      </c>
      <c r="G17" s="734">
        <f t="shared" si="6"/>
        <v>0</v>
      </c>
      <c r="H17" s="477">
        <f>SUM(C17:G17)</f>
        <v>0</v>
      </c>
      <c r="I17" s="56"/>
    </row>
    <row r="18" spans="2:9" s="56" customFormat="1" ht="12.75" customHeight="1" outlineLevel="1" thickBot="1" x14ac:dyDescent="0.25">
      <c r="B18" s="735" t="s">
        <v>203</v>
      </c>
      <c r="C18" s="736">
        <v>0</v>
      </c>
      <c r="D18" s="736">
        <v>0</v>
      </c>
      <c r="E18" s="736">
        <v>0</v>
      </c>
      <c r="F18" s="736">
        <v>0</v>
      </c>
      <c r="G18" s="736">
        <v>0</v>
      </c>
      <c r="H18" s="641">
        <f>SUM(C18:G18)</f>
        <v>0</v>
      </c>
    </row>
    <row r="19" spans="2:9" s="111" customFormat="1" ht="10.8" outlineLevel="1" thickBot="1" x14ac:dyDescent="0.25">
      <c r="B19" s="738" t="s">
        <v>963</v>
      </c>
      <c r="C19" s="739">
        <f>C14+C15-C17</f>
        <v>30535</v>
      </c>
      <c r="D19" s="739">
        <f t="shared" ref="D19:G19" si="7">D14+D15-D17</f>
        <v>0</v>
      </c>
      <c r="E19" s="739">
        <f t="shared" si="7"/>
        <v>0</v>
      </c>
      <c r="F19" s="739">
        <f t="shared" si="7"/>
        <v>1778448</v>
      </c>
      <c r="G19" s="739">
        <f t="shared" si="7"/>
        <v>0</v>
      </c>
      <c r="H19" s="477">
        <f t="shared" ref="H19:H20" si="8">SUM(C19:G19)</f>
        <v>1808983</v>
      </c>
      <c r="I19" s="56"/>
    </row>
    <row r="20" spans="2:9" s="56" customFormat="1" ht="11.4" outlineLevel="1" thickTop="1" thickBot="1" x14ac:dyDescent="0.25">
      <c r="B20" s="738" t="s">
        <v>964</v>
      </c>
      <c r="C20" s="739">
        <f>C13-C19</f>
        <v>1191839</v>
      </c>
      <c r="D20" s="739">
        <f t="shared" ref="D20:G20" si="9">D13-D19</f>
        <v>0</v>
      </c>
      <c r="E20" s="739">
        <f t="shared" si="9"/>
        <v>0</v>
      </c>
      <c r="F20" s="739">
        <f t="shared" si="9"/>
        <v>10690890</v>
      </c>
      <c r="G20" s="739">
        <f t="shared" si="9"/>
        <v>0</v>
      </c>
      <c r="H20" s="477">
        <f t="shared" si="8"/>
        <v>11882729</v>
      </c>
    </row>
    <row r="21" spans="2:9" s="56" customFormat="1" ht="10.8" outlineLevel="1" thickTop="1" x14ac:dyDescent="0.2">
      <c r="H21" s="404">
        <f>Aktywa!D5</f>
        <v>11882729</v>
      </c>
    </row>
    <row r="22" spans="2:9" s="56" customFormat="1" outlineLevel="1" x14ac:dyDescent="0.2"/>
    <row r="23" spans="2:9" s="56" customFormat="1" outlineLevel="1" x14ac:dyDescent="0.2">
      <c r="B23" s="66" t="s">
        <v>860</v>
      </c>
      <c r="H23" s="302"/>
    </row>
    <row r="24" spans="2:9" s="111" customFormat="1" outlineLevel="1" x14ac:dyDescent="0.2">
      <c r="B24" s="66"/>
      <c r="C24" s="56"/>
      <c r="D24" s="56"/>
      <c r="E24" s="56"/>
      <c r="F24" s="56"/>
      <c r="G24" s="56"/>
      <c r="H24" s="302"/>
      <c r="I24" s="56"/>
    </row>
    <row r="25" spans="2:9" s="56" customFormat="1" ht="30.6" outlineLevel="1" x14ac:dyDescent="0.2">
      <c r="B25" s="92" t="s">
        <v>416</v>
      </c>
      <c r="C25" s="607" t="s">
        <v>209</v>
      </c>
      <c r="D25" s="92" t="s">
        <v>210</v>
      </c>
      <c r="E25" s="607" t="s">
        <v>211</v>
      </c>
      <c r="F25" s="607" t="s">
        <v>212</v>
      </c>
      <c r="G25" s="607" t="s">
        <v>286</v>
      </c>
      <c r="H25" s="607" t="s">
        <v>491</v>
      </c>
    </row>
    <row r="26" spans="2:9" s="56" customFormat="1" outlineLevel="1" x14ac:dyDescent="0.2">
      <c r="B26" s="441" t="str">
        <f>'NOTA 9 -Rzeczowe aktywa trwałe'!B48</f>
        <v>Wartość bilansowa brutto na dzień 01.01.2015</v>
      </c>
      <c r="C26" s="442"/>
      <c r="D26" s="442"/>
      <c r="E26" s="442"/>
      <c r="F26" s="442">
        <v>10371393</v>
      </c>
      <c r="G26" s="442"/>
      <c r="H26" s="477">
        <f>SUM(C26:G26)</f>
        <v>10371393</v>
      </c>
    </row>
    <row r="27" spans="2:9" s="56" customFormat="1" outlineLevel="1" x14ac:dyDescent="0.2">
      <c r="B27" s="262" t="s">
        <v>116</v>
      </c>
      <c r="C27" s="260">
        <f t="shared" ref="C27:H27" si="10">SUM(C28:C31)</f>
        <v>107770</v>
      </c>
      <c r="D27" s="260">
        <f t="shared" si="10"/>
        <v>0</v>
      </c>
      <c r="E27" s="260">
        <f t="shared" si="10"/>
        <v>0</v>
      </c>
      <c r="F27" s="260">
        <f t="shared" si="10"/>
        <v>961758</v>
      </c>
      <c r="G27" s="285">
        <f t="shared" si="10"/>
        <v>0</v>
      </c>
      <c r="H27" s="285">
        <f t="shared" si="10"/>
        <v>1069528</v>
      </c>
    </row>
    <row r="28" spans="2:9" s="56" customFormat="1" outlineLevel="1" x14ac:dyDescent="0.2">
      <c r="B28" s="420" t="s">
        <v>572</v>
      </c>
      <c r="C28" s="258">
        <v>0</v>
      </c>
      <c r="D28" s="258">
        <v>0</v>
      </c>
      <c r="E28" s="258">
        <v>0</v>
      </c>
      <c r="F28" s="258">
        <f>1069528-C30</f>
        <v>961758</v>
      </c>
      <c r="G28" s="282">
        <v>0</v>
      </c>
      <c r="H28" s="282">
        <f>SUM(C28:G28)</f>
        <v>961758</v>
      </c>
    </row>
    <row r="29" spans="2:9" s="56" customFormat="1" ht="24" hidden="1" customHeight="1" outlineLevel="1" x14ac:dyDescent="0.2">
      <c r="B29" s="479" t="s">
        <v>201</v>
      </c>
      <c r="C29" s="258"/>
      <c r="D29" s="258"/>
      <c r="E29" s="258"/>
      <c r="F29" s="258"/>
      <c r="G29" s="282"/>
      <c r="H29" s="282">
        <f>SUM(C29:G29)</f>
        <v>0</v>
      </c>
    </row>
    <row r="30" spans="2:9" s="56" customFormat="1" outlineLevel="1" x14ac:dyDescent="0.2">
      <c r="B30" s="479" t="s">
        <v>938</v>
      </c>
      <c r="C30" s="258">
        <v>107770</v>
      </c>
      <c r="D30" s="258">
        <v>0</v>
      </c>
      <c r="E30" s="258">
        <v>0</v>
      </c>
      <c r="F30" s="258">
        <v>0</v>
      </c>
      <c r="G30" s="282">
        <v>0</v>
      </c>
      <c r="H30" s="282">
        <f>SUM(C30:G30)</f>
        <v>107770</v>
      </c>
    </row>
    <row r="31" spans="2:9" s="56" customFormat="1" hidden="1" x14ac:dyDescent="0.2">
      <c r="B31" s="420" t="s">
        <v>637</v>
      </c>
      <c r="C31" s="258"/>
      <c r="D31" s="258"/>
      <c r="E31" s="258"/>
      <c r="F31" s="258"/>
      <c r="G31" s="282"/>
      <c r="H31" s="282">
        <f>SUM(C31:G31)</f>
        <v>0</v>
      </c>
    </row>
    <row r="32" spans="2:9" s="56" customFormat="1" x14ac:dyDescent="0.2">
      <c r="B32" s="262" t="s">
        <v>115</v>
      </c>
      <c r="C32" s="260">
        <f t="shared" ref="C32:H32" si="11">SUM(C33:C36)</f>
        <v>0</v>
      </c>
      <c r="D32" s="260">
        <f t="shared" si="11"/>
        <v>0</v>
      </c>
      <c r="E32" s="260">
        <f t="shared" si="11"/>
        <v>0</v>
      </c>
      <c r="F32" s="260">
        <f t="shared" si="11"/>
        <v>14050</v>
      </c>
      <c r="G32" s="285">
        <f t="shared" si="11"/>
        <v>0</v>
      </c>
      <c r="H32" s="285">
        <f t="shared" si="11"/>
        <v>14050</v>
      </c>
    </row>
    <row r="33" spans="2:8" s="56" customFormat="1" hidden="1" x14ac:dyDescent="0.2">
      <c r="B33" s="420" t="s">
        <v>202</v>
      </c>
      <c r="C33" s="258"/>
      <c r="D33" s="258"/>
      <c r="E33" s="258"/>
      <c r="F33" s="258"/>
      <c r="G33" s="282"/>
      <c r="H33" s="282">
        <f t="shared" ref="H33:H38" si="12">SUM(C33:G33)</f>
        <v>0</v>
      </c>
    </row>
    <row r="34" spans="2:8" s="56" customFormat="1" x14ac:dyDescent="0.2">
      <c r="B34" s="479" t="s">
        <v>203</v>
      </c>
      <c r="C34" s="258">
        <v>0</v>
      </c>
      <c r="D34" s="258">
        <v>0</v>
      </c>
      <c r="E34" s="258">
        <v>0</v>
      </c>
      <c r="F34" s="258">
        <v>14050</v>
      </c>
      <c r="G34" s="282">
        <v>0</v>
      </c>
      <c r="H34" s="282">
        <f t="shared" si="12"/>
        <v>14050</v>
      </c>
    </row>
    <row r="35" spans="2:8" s="132" customFormat="1" hidden="1" outlineLevel="1" x14ac:dyDescent="0.2">
      <c r="B35" s="420" t="s">
        <v>201</v>
      </c>
      <c r="C35" s="258"/>
      <c r="D35" s="258"/>
      <c r="E35" s="258"/>
      <c r="F35" s="258"/>
      <c r="G35" s="282"/>
      <c r="H35" s="282">
        <f t="shared" si="12"/>
        <v>0</v>
      </c>
    </row>
    <row r="36" spans="2:8" s="56" customFormat="1" ht="14.25" hidden="1" customHeight="1" outlineLevel="1" x14ac:dyDescent="0.2">
      <c r="B36" s="420" t="s">
        <v>637</v>
      </c>
      <c r="C36" s="258"/>
      <c r="D36" s="258"/>
      <c r="E36" s="258"/>
      <c r="F36" s="258"/>
      <c r="G36" s="282"/>
      <c r="H36" s="282">
        <f t="shared" si="12"/>
        <v>0</v>
      </c>
    </row>
    <row r="37" spans="2:8" s="56" customFormat="1" ht="10.8" outlineLevel="1" thickBot="1" x14ac:dyDescent="0.25">
      <c r="B37" s="555" t="str">
        <f>'NOTA 9 -Rzeczowe aktywa trwałe'!B64</f>
        <v>Wartość bilansowa brutto na dzień 31.12.2015</v>
      </c>
      <c r="C37" s="199">
        <f t="shared" ref="C37:G37" si="13">C26+C27-C32</f>
        <v>107770</v>
      </c>
      <c r="D37" s="199">
        <f t="shared" si="13"/>
        <v>0</v>
      </c>
      <c r="E37" s="199">
        <f t="shared" si="13"/>
        <v>0</v>
      </c>
      <c r="F37" s="199">
        <f>F26+F27-F32</f>
        <v>11319101</v>
      </c>
      <c r="G37" s="476">
        <f t="shared" si="13"/>
        <v>0</v>
      </c>
      <c r="H37" s="476">
        <f t="shared" si="12"/>
        <v>11426871</v>
      </c>
    </row>
    <row r="38" spans="2:8" s="56" customFormat="1" ht="10.8" outlineLevel="1" thickTop="1" x14ac:dyDescent="0.2">
      <c r="B38" s="73" t="str">
        <f>'NOTA 9 -Rzeczowe aktywa trwałe'!B65</f>
        <v>Umorzenie na dzień 01.01.2015</v>
      </c>
      <c r="C38" s="116"/>
      <c r="D38" s="116"/>
      <c r="E38" s="116"/>
      <c r="F38" s="116">
        <v>806385</v>
      </c>
      <c r="G38" s="155">
        <v>0</v>
      </c>
      <c r="H38" s="155">
        <f t="shared" si="12"/>
        <v>806385</v>
      </c>
    </row>
    <row r="39" spans="2:8" s="56" customFormat="1" outlineLevel="1" x14ac:dyDescent="0.2">
      <c r="B39" s="262" t="s">
        <v>116</v>
      </c>
      <c r="C39" s="260">
        <f t="shared" ref="C39:H39" si="14">SUM(C40:C42)</f>
        <v>8981</v>
      </c>
      <c r="D39" s="260">
        <f t="shared" si="14"/>
        <v>0</v>
      </c>
      <c r="E39" s="260">
        <f t="shared" si="14"/>
        <v>0</v>
      </c>
      <c r="F39" s="260">
        <f t="shared" si="14"/>
        <v>379150</v>
      </c>
      <c r="G39" s="285">
        <f t="shared" si="14"/>
        <v>0</v>
      </c>
      <c r="H39" s="285">
        <f t="shared" si="14"/>
        <v>388131</v>
      </c>
    </row>
    <row r="40" spans="2:8" s="56" customFormat="1" outlineLevel="1" x14ac:dyDescent="0.2">
      <c r="B40" s="420" t="s">
        <v>206</v>
      </c>
      <c r="C40" s="258">
        <v>8981</v>
      </c>
      <c r="D40" s="258">
        <v>0</v>
      </c>
      <c r="E40" s="258">
        <v>0</v>
      </c>
      <c r="F40" s="258">
        <f>388131-C40</f>
        <v>379150</v>
      </c>
      <c r="G40" s="282">
        <v>0</v>
      </c>
      <c r="H40" s="282">
        <f>SUM(C40:G40)</f>
        <v>388131</v>
      </c>
    </row>
    <row r="41" spans="2:8" s="56" customFormat="1" hidden="1" outlineLevel="1" x14ac:dyDescent="0.2">
      <c r="B41" s="420" t="s">
        <v>201</v>
      </c>
      <c r="C41" s="258"/>
      <c r="D41" s="258"/>
      <c r="E41" s="258"/>
      <c r="F41" s="258"/>
      <c r="G41" s="282"/>
      <c r="H41" s="282">
        <f>SUM(C41:G41)</f>
        <v>0</v>
      </c>
    </row>
    <row r="42" spans="2:8" s="56" customFormat="1" hidden="1" outlineLevel="1" x14ac:dyDescent="0.2">
      <c r="B42" s="420" t="s">
        <v>637</v>
      </c>
      <c r="C42" s="258"/>
      <c r="D42" s="258"/>
      <c r="E42" s="258"/>
      <c r="F42" s="258"/>
      <c r="G42" s="282"/>
      <c r="H42" s="282">
        <f>SUM(C42:G42)</f>
        <v>0</v>
      </c>
    </row>
    <row r="43" spans="2:8" s="56" customFormat="1" outlineLevel="1" x14ac:dyDescent="0.2">
      <c r="B43" s="262" t="s">
        <v>115</v>
      </c>
      <c r="C43" s="260">
        <f t="shared" ref="C43:H43" si="15">SUM(C44:C47)</f>
        <v>0</v>
      </c>
      <c r="D43" s="260">
        <f t="shared" si="15"/>
        <v>0</v>
      </c>
      <c r="E43" s="260">
        <f t="shared" si="15"/>
        <v>0</v>
      </c>
      <c r="F43" s="260">
        <f t="shared" si="15"/>
        <v>14050</v>
      </c>
      <c r="G43" s="285">
        <f t="shared" si="15"/>
        <v>0</v>
      </c>
      <c r="H43" s="285">
        <f t="shared" si="15"/>
        <v>14050</v>
      </c>
    </row>
    <row r="44" spans="2:8" s="56" customFormat="1" outlineLevel="1" x14ac:dyDescent="0.2">
      <c r="B44" s="420" t="s">
        <v>203</v>
      </c>
      <c r="C44" s="258">
        <v>0</v>
      </c>
      <c r="D44" s="258">
        <v>0</v>
      </c>
      <c r="E44" s="258">
        <v>0</v>
      </c>
      <c r="F44" s="258">
        <v>14050</v>
      </c>
      <c r="G44" s="282">
        <v>0</v>
      </c>
      <c r="H44" s="282">
        <f>SUM(C44:G44)</f>
        <v>14050</v>
      </c>
    </row>
    <row r="45" spans="2:8" s="56" customFormat="1" hidden="1" outlineLevel="1" x14ac:dyDescent="0.2">
      <c r="B45" s="420" t="s">
        <v>207</v>
      </c>
      <c r="C45" s="258"/>
      <c r="D45" s="258"/>
      <c r="E45" s="258"/>
      <c r="F45" s="258"/>
      <c r="G45" s="282"/>
      <c r="H45" s="282">
        <f>SUM(C45:G45)</f>
        <v>0</v>
      </c>
    </row>
    <row r="46" spans="2:8" s="56" customFormat="1" hidden="1" outlineLevel="1" x14ac:dyDescent="0.2">
      <c r="B46" s="420" t="s">
        <v>201</v>
      </c>
      <c r="C46" s="258"/>
      <c r="D46" s="258"/>
      <c r="E46" s="258"/>
      <c r="F46" s="258"/>
      <c r="G46" s="282"/>
      <c r="H46" s="282">
        <f>SUM(C46:G46)</f>
        <v>0</v>
      </c>
    </row>
    <row r="47" spans="2:8" s="56" customFormat="1" ht="13.65" hidden="1" customHeight="1" outlineLevel="1" x14ac:dyDescent="0.2">
      <c r="B47" s="420" t="s">
        <v>637</v>
      </c>
      <c r="C47" s="258"/>
      <c r="D47" s="258"/>
      <c r="E47" s="258"/>
      <c r="F47" s="258"/>
      <c r="G47" s="282"/>
      <c r="H47" s="282">
        <f>SUM(C47:G47)</f>
        <v>0</v>
      </c>
    </row>
    <row r="48" spans="2:8" s="56" customFormat="1" ht="10.8" outlineLevel="1" thickBot="1" x14ac:dyDescent="0.25">
      <c r="B48" s="555" t="str">
        <f>'NOTA 9 -Rzeczowe aktywa trwałe'!B75</f>
        <v>Umorzenie na dzień 31.12.2015</v>
      </c>
      <c r="C48" s="199">
        <f t="shared" ref="C48:H48" si="16">C38+C39-C43</f>
        <v>8981</v>
      </c>
      <c r="D48" s="199">
        <f t="shared" si="16"/>
        <v>0</v>
      </c>
      <c r="E48" s="199">
        <f t="shared" si="16"/>
        <v>0</v>
      </c>
      <c r="F48" s="199">
        <f t="shared" si="16"/>
        <v>1171485</v>
      </c>
      <c r="G48" s="476">
        <f t="shared" si="16"/>
        <v>0</v>
      </c>
      <c r="H48" s="476">
        <f t="shared" si="16"/>
        <v>1180466</v>
      </c>
    </row>
    <row r="49" spans="2:9" s="56" customFormat="1" ht="11.4" outlineLevel="1" thickTop="1" thickBot="1" x14ac:dyDescent="0.25">
      <c r="B49" s="555" t="s">
        <v>863</v>
      </c>
      <c r="C49" s="402">
        <f t="shared" ref="C49:H49" si="17">C37-C48</f>
        <v>98789</v>
      </c>
      <c r="D49" s="402">
        <f t="shared" si="17"/>
        <v>0</v>
      </c>
      <c r="E49" s="402">
        <f t="shared" si="17"/>
        <v>0</v>
      </c>
      <c r="F49" s="402">
        <f t="shared" si="17"/>
        <v>10147616</v>
      </c>
      <c r="G49" s="402">
        <f t="shared" si="17"/>
        <v>0</v>
      </c>
      <c r="H49" s="402">
        <f t="shared" si="17"/>
        <v>10246405</v>
      </c>
    </row>
    <row r="50" spans="2:9" s="56" customFormat="1" ht="10.8" outlineLevel="1" thickTop="1" x14ac:dyDescent="0.2">
      <c r="B50" s="614"/>
      <c r="C50" s="133"/>
      <c r="D50" s="133"/>
      <c r="E50" s="133"/>
      <c r="F50" s="604"/>
      <c r="H50" s="404">
        <f>Aktywa!E5</f>
        <v>10246405</v>
      </c>
    </row>
    <row r="51" spans="2:9" s="56" customFormat="1" outlineLevel="1" x14ac:dyDescent="0.2">
      <c r="B51" s="46"/>
    </row>
    <row r="52" spans="2:9" s="56" customFormat="1" outlineLevel="1" x14ac:dyDescent="0.2">
      <c r="B52" s="66" t="s">
        <v>190</v>
      </c>
      <c r="F52" s="127"/>
      <c r="G52" s="127"/>
      <c r="H52" s="127"/>
      <c r="I52" s="118"/>
    </row>
    <row r="53" spans="2:9" s="56" customFormat="1" outlineLevel="1" x14ac:dyDescent="0.2">
      <c r="B53" s="66"/>
      <c r="F53" s="127"/>
      <c r="G53" s="127"/>
      <c r="H53" s="127"/>
      <c r="I53" s="118"/>
    </row>
    <row r="54" spans="2:9" s="56" customFormat="1" outlineLevel="1" x14ac:dyDescent="0.2">
      <c r="B54" s="92" t="s">
        <v>416</v>
      </c>
      <c r="C54" s="627">
        <f>'Dane podstawowe'!B9</f>
        <v>42735</v>
      </c>
      <c r="D54" s="627">
        <f>'Dane podstawowe'!B14</f>
        <v>42369</v>
      </c>
      <c r="F54" s="127"/>
      <c r="G54" s="127"/>
      <c r="H54" s="127"/>
      <c r="I54" s="118"/>
    </row>
    <row r="55" spans="2:9" s="56" customFormat="1" outlineLevel="1" x14ac:dyDescent="0.2">
      <c r="B55" s="266" t="s">
        <v>602</v>
      </c>
      <c r="C55" s="108">
        <v>11882729</v>
      </c>
      <c r="D55" s="264">
        <v>10246405</v>
      </c>
      <c r="F55" s="127"/>
      <c r="G55" s="127"/>
      <c r="H55" s="127"/>
      <c r="I55" s="118"/>
    </row>
    <row r="56" spans="2:9" s="56" customFormat="1" ht="20.399999999999999" outlineLevel="1" x14ac:dyDescent="0.2">
      <c r="B56" s="130" t="s">
        <v>603</v>
      </c>
      <c r="C56" s="108"/>
      <c r="D56" s="264"/>
      <c r="F56" s="127"/>
      <c r="G56" s="127"/>
      <c r="H56" s="127"/>
      <c r="I56" s="118"/>
    </row>
    <row r="57" spans="2:9" s="56" customFormat="1" outlineLevel="1" x14ac:dyDescent="0.2">
      <c r="B57" s="580" t="s">
        <v>26</v>
      </c>
      <c r="C57" s="115">
        <f>SUM(C55:C56)</f>
        <v>11882729</v>
      </c>
      <c r="D57" s="115">
        <f>SUM(D55:D56)</f>
        <v>10246405</v>
      </c>
      <c r="F57" s="127"/>
      <c r="G57" s="127"/>
      <c r="H57" s="127"/>
      <c r="I57" s="118"/>
    </row>
    <row r="58" spans="2:9" s="56" customFormat="1" outlineLevel="1" x14ac:dyDescent="0.2">
      <c r="C58" s="404">
        <f>Aktywa!D5</f>
        <v>11882729</v>
      </c>
      <c r="D58" s="404">
        <f>Aktywa!E5</f>
        <v>10246405</v>
      </c>
      <c r="F58" s="127"/>
      <c r="G58" s="127"/>
      <c r="H58" s="127"/>
      <c r="I58" s="118"/>
    </row>
    <row r="59" spans="2:9" s="56" customFormat="1" outlineLevel="1" x14ac:dyDescent="0.2">
      <c r="F59" s="127"/>
      <c r="G59" s="127"/>
      <c r="H59" s="127"/>
      <c r="I59" s="118"/>
    </row>
    <row r="60" spans="2:9" s="56" customFormat="1" outlineLevel="1" x14ac:dyDescent="0.2">
      <c r="B60" s="149"/>
      <c r="C60" s="149"/>
      <c r="D60" s="149"/>
      <c r="E60" s="149"/>
      <c r="F60" s="149"/>
      <c r="G60" s="149"/>
      <c r="H60" s="149"/>
      <c r="I60" s="149"/>
    </row>
    <row r="61" spans="2:9" s="56" customFormat="1" ht="21.75" customHeight="1" outlineLevel="1" x14ac:dyDescent="0.2">
      <c r="B61" s="149"/>
      <c r="C61" s="149"/>
      <c r="D61" s="149"/>
      <c r="E61" s="149"/>
      <c r="F61" s="149"/>
      <c r="G61" s="149"/>
      <c r="H61" s="149"/>
      <c r="I61" s="149"/>
    </row>
    <row r="62" spans="2:9" s="56" customFormat="1" outlineLevel="1" x14ac:dyDescent="0.2">
      <c r="B62" s="149"/>
      <c r="C62" s="149"/>
      <c r="D62" s="149"/>
      <c r="E62" s="149"/>
      <c r="F62" s="149"/>
      <c r="G62" s="149"/>
      <c r="H62" s="149"/>
      <c r="I62" s="149"/>
    </row>
    <row r="63" spans="2:9" s="56" customFormat="1" x14ac:dyDescent="0.2">
      <c r="B63" s="149"/>
      <c r="C63" s="149"/>
      <c r="D63" s="149"/>
      <c r="E63" s="149"/>
      <c r="F63" s="149"/>
      <c r="G63" s="149"/>
      <c r="H63" s="149"/>
      <c r="I63" s="149"/>
    </row>
    <row r="64" spans="2:9" s="56" customFormat="1" x14ac:dyDescent="0.2">
      <c r="B64" s="149"/>
      <c r="C64" s="149"/>
      <c r="D64" s="149"/>
      <c r="E64" s="149"/>
      <c r="F64" s="149"/>
      <c r="G64" s="149"/>
      <c r="H64" s="149"/>
      <c r="I64" s="149"/>
    </row>
    <row r="65" spans="2:10" s="56" customFormat="1" x14ac:dyDescent="0.2">
      <c r="B65" s="149"/>
      <c r="C65" s="149"/>
      <c r="D65" s="149"/>
      <c r="E65" s="149"/>
      <c r="F65" s="149"/>
      <c r="G65" s="149"/>
      <c r="H65" s="149"/>
      <c r="I65" s="149"/>
    </row>
    <row r="66" spans="2:10" s="56" customFormat="1" x14ac:dyDescent="0.2">
      <c r="B66" s="149"/>
      <c r="C66" s="149"/>
      <c r="D66" s="149"/>
      <c r="E66" s="149"/>
      <c r="F66" s="149"/>
      <c r="G66" s="149"/>
      <c r="H66" s="149"/>
      <c r="I66" s="149"/>
    </row>
    <row r="67" spans="2:10" s="56" customFormat="1" x14ac:dyDescent="0.2">
      <c r="B67" s="149"/>
      <c r="C67" s="149"/>
      <c r="D67" s="149"/>
      <c r="E67" s="149"/>
      <c r="F67" s="149"/>
      <c r="G67" s="149"/>
      <c r="H67" s="149"/>
      <c r="I67" s="149"/>
      <c r="J67" s="615"/>
    </row>
    <row r="68" spans="2:10" s="56" customFormat="1" x14ac:dyDescent="0.2">
      <c r="B68" s="149"/>
      <c r="C68" s="149"/>
      <c r="D68" s="149"/>
      <c r="E68" s="149"/>
      <c r="F68" s="149"/>
      <c r="G68" s="149"/>
      <c r="H68" s="149"/>
      <c r="I68" s="149"/>
      <c r="J68" s="616"/>
    </row>
    <row r="69" spans="2:10" s="56" customFormat="1" x14ac:dyDescent="0.2">
      <c r="B69" s="149"/>
      <c r="C69" s="149"/>
      <c r="D69" s="149"/>
      <c r="E69" s="149"/>
      <c r="F69" s="149"/>
      <c r="G69" s="149"/>
      <c r="H69" s="149"/>
      <c r="I69" s="149"/>
      <c r="J69" s="493"/>
    </row>
    <row r="70" spans="2:10" s="56" customFormat="1" x14ac:dyDescent="0.2">
      <c r="B70" s="149"/>
      <c r="C70" s="149"/>
      <c r="D70" s="149"/>
      <c r="E70" s="149"/>
      <c r="F70" s="149"/>
      <c r="G70" s="149"/>
      <c r="H70" s="149"/>
      <c r="I70" s="149"/>
      <c r="J70" s="493"/>
    </row>
    <row r="71" spans="2:10" s="56" customFormat="1" x14ac:dyDescent="0.2">
      <c r="B71" s="149"/>
      <c r="C71" s="149"/>
      <c r="D71" s="149"/>
      <c r="E71" s="149"/>
      <c r="F71" s="149"/>
      <c r="G71" s="149"/>
      <c r="H71" s="149"/>
      <c r="I71" s="149"/>
      <c r="J71" s="493"/>
    </row>
    <row r="72" spans="2:10" s="56" customFormat="1" x14ac:dyDescent="0.2">
      <c r="B72" s="149"/>
      <c r="C72" s="149"/>
      <c r="D72" s="149"/>
      <c r="E72" s="149"/>
      <c r="F72" s="149"/>
      <c r="G72" s="149"/>
      <c r="H72" s="149"/>
      <c r="I72" s="149"/>
      <c r="J72" s="493"/>
    </row>
    <row r="73" spans="2:10" s="56" customFormat="1" x14ac:dyDescent="0.2">
      <c r="B73" s="149"/>
      <c r="C73" s="149"/>
      <c r="D73" s="149"/>
      <c r="E73" s="149"/>
      <c r="F73" s="149"/>
      <c r="G73" s="149"/>
      <c r="H73" s="149"/>
      <c r="I73" s="149"/>
      <c r="J73" s="493"/>
    </row>
    <row r="74" spans="2:10" s="56" customFormat="1" x14ac:dyDescent="0.2">
      <c r="B74" s="149"/>
      <c r="C74" s="149"/>
      <c r="D74" s="149"/>
      <c r="E74" s="149"/>
      <c r="F74" s="149"/>
      <c r="G74" s="149"/>
      <c r="H74" s="149"/>
      <c r="I74" s="149"/>
      <c r="J74" s="616"/>
    </row>
    <row r="75" spans="2:10" s="56" customFormat="1" x14ac:dyDescent="0.2">
      <c r="B75" s="149"/>
      <c r="C75" s="149"/>
      <c r="D75" s="149"/>
      <c r="E75" s="149"/>
      <c r="F75" s="149"/>
      <c r="G75" s="149"/>
      <c r="H75" s="149"/>
      <c r="I75" s="149"/>
    </row>
    <row r="76" spans="2:10" s="56" customFormat="1" x14ac:dyDescent="0.2">
      <c r="B76" s="149"/>
      <c r="C76" s="149"/>
      <c r="D76" s="149"/>
      <c r="E76" s="149"/>
      <c r="F76" s="149"/>
      <c r="G76" s="149"/>
      <c r="H76" s="149"/>
      <c r="I76" s="149"/>
    </row>
    <row r="77" spans="2:10" s="56" customFormat="1" x14ac:dyDescent="0.2">
      <c r="B77" s="149"/>
      <c r="C77" s="149"/>
      <c r="D77" s="149"/>
      <c r="E77" s="149"/>
      <c r="F77" s="149"/>
      <c r="G77" s="149"/>
      <c r="H77" s="149"/>
      <c r="I77" s="149"/>
    </row>
    <row r="78" spans="2:10" s="56" customFormat="1" x14ac:dyDescent="0.2">
      <c r="B78" s="149"/>
      <c r="C78" s="149"/>
      <c r="D78" s="149"/>
      <c r="E78" s="149"/>
      <c r="F78" s="149"/>
      <c r="G78" s="149"/>
      <c r="H78" s="149"/>
      <c r="I78" s="149"/>
      <c r="J78" s="615"/>
    </row>
    <row r="79" spans="2:10" s="56" customFormat="1" x14ac:dyDescent="0.2">
      <c r="B79" s="149"/>
      <c r="C79" s="149"/>
      <c r="D79" s="149"/>
      <c r="E79" s="149"/>
      <c r="F79" s="149"/>
      <c r="G79" s="149"/>
      <c r="H79" s="149"/>
      <c r="I79" s="149"/>
      <c r="J79" s="616"/>
    </row>
    <row r="80" spans="2:10" s="56" customFormat="1" x14ac:dyDescent="0.2">
      <c r="B80" s="149"/>
      <c r="C80" s="149"/>
      <c r="D80" s="149"/>
      <c r="E80" s="149"/>
      <c r="F80" s="149"/>
      <c r="G80" s="149"/>
      <c r="H80" s="149"/>
      <c r="I80" s="149"/>
      <c r="J80" s="493"/>
    </row>
    <row r="81" spans="2:10" s="56" customFormat="1" x14ac:dyDescent="0.2">
      <c r="B81" s="149"/>
      <c r="C81" s="149"/>
      <c r="D81" s="149"/>
      <c r="E81" s="149"/>
      <c r="F81" s="149"/>
      <c r="G81" s="149"/>
      <c r="H81" s="149"/>
      <c r="I81" s="149"/>
      <c r="J81" s="493"/>
    </row>
    <row r="82" spans="2:10" s="56" customFormat="1" x14ac:dyDescent="0.2">
      <c r="B82" s="149"/>
      <c r="C82" s="149"/>
      <c r="D82" s="149"/>
      <c r="E82" s="149"/>
      <c r="F82" s="149"/>
      <c r="G82" s="149"/>
      <c r="H82" s="149"/>
      <c r="I82" s="149"/>
      <c r="J82" s="493"/>
    </row>
    <row r="83" spans="2:10" s="56" customFormat="1" x14ac:dyDescent="0.2">
      <c r="B83" s="149"/>
      <c r="C83" s="149"/>
      <c r="D83" s="149"/>
      <c r="E83" s="149"/>
      <c r="F83" s="149"/>
      <c r="G83" s="149"/>
      <c r="H83" s="149"/>
      <c r="I83" s="149"/>
      <c r="J83" s="493"/>
    </row>
    <row r="84" spans="2:10" s="56" customFormat="1" x14ac:dyDescent="0.2">
      <c r="B84" s="149"/>
      <c r="C84" s="149"/>
      <c r="D84" s="149"/>
      <c r="E84" s="149"/>
      <c r="F84" s="149"/>
      <c r="G84" s="149"/>
      <c r="H84" s="149"/>
      <c r="I84" s="149"/>
      <c r="J84" s="493"/>
    </row>
    <row r="85" spans="2:10" s="56" customFormat="1" x14ac:dyDescent="0.2">
      <c r="B85" s="149"/>
      <c r="C85" s="149"/>
      <c r="D85" s="149"/>
      <c r="E85" s="149"/>
      <c r="F85" s="149"/>
      <c r="G85" s="149"/>
      <c r="H85" s="149"/>
      <c r="I85" s="149"/>
      <c r="J85" s="616"/>
    </row>
    <row r="86" spans="2:10" s="56" customFormat="1" x14ac:dyDescent="0.2">
      <c r="B86" s="149"/>
      <c r="C86" s="149"/>
      <c r="D86" s="149"/>
      <c r="E86" s="149"/>
      <c r="F86" s="149"/>
      <c r="G86" s="149"/>
      <c r="H86" s="149"/>
      <c r="I86" s="149"/>
    </row>
    <row r="87" spans="2:10" s="56" customFormat="1" x14ac:dyDescent="0.2">
      <c r="B87" s="149"/>
      <c r="C87" s="149"/>
      <c r="D87" s="149"/>
      <c r="E87" s="149"/>
      <c r="F87" s="149"/>
      <c r="G87" s="149"/>
      <c r="H87" s="149"/>
      <c r="I87" s="149"/>
    </row>
    <row r="88" spans="2:10" s="56" customFormat="1" x14ac:dyDescent="0.2">
      <c r="B88" s="149"/>
      <c r="C88" s="149"/>
      <c r="D88" s="149"/>
      <c r="E88" s="149"/>
      <c r="F88" s="149"/>
      <c r="G88" s="149"/>
      <c r="H88" s="149"/>
      <c r="I88" s="149"/>
      <c r="J88" s="118"/>
    </row>
    <row r="89" spans="2:10" s="56" customFormat="1" x14ac:dyDescent="0.2">
      <c r="B89" s="149"/>
      <c r="C89" s="149"/>
      <c r="D89" s="149"/>
      <c r="E89" s="149"/>
      <c r="F89" s="149"/>
      <c r="G89" s="149"/>
      <c r="H89" s="149"/>
      <c r="I89" s="149"/>
      <c r="J89" s="118"/>
    </row>
    <row r="90" spans="2:10" s="56" customFormat="1" x14ac:dyDescent="0.2">
      <c r="B90" s="149"/>
      <c r="C90" s="149"/>
      <c r="D90" s="149"/>
      <c r="E90" s="149"/>
      <c r="F90" s="149"/>
      <c r="G90" s="149"/>
      <c r="H90" s="149"/>
      <c r="I90" s="149"/>
      <c r="J90" s="118"/>
    </row>
    <row r="91" spans="2:10" s="56" customFormat="1" x14ac:dyDescent="0.2">
      <c r="B91" s="149"/>
      <c r="C91" s="149"/>
      <c r="D91" s="149"/>
      <c r="E91" s="149"/>
      <c r="F91" s="149"/>
      <c r="G91" s="149"/>
      <c r="H91" s="149"/>
      <c r="I91" s="149"/>
      <c r="J91" s="118"/>
    </row>
    <row r="92" spans="2:10" s="56" customFormat="1" x14ac:dyDescent="0.2">
      <c r="B92" s="149"/>
      <c r="C92" s="149"/>
      <c r="D92" s="149"/>
      <c r="E92" s="149"/>
      <c r="F92" s="149"/>
      <c r="G92" s="149"/>
      <c r="H92" s="149"/>
      <c r="I92" s="149"/>
      <c r="J92" s="118"/>
    </row>
    <row r="93" spans="2:10" s="56" customFormat="1" x14ac:dyDescent="0.2">
      <c r="B93" s="149"/>
      <c r="C93" s="149"/>
      <c r="D93" s="149"/>
      <c r="E93" s="149"/>
      <c r="F93" s="149"/>
      <c r="G93" s="149"/>
      <c r="H93" s="149"/>
      <c r="I93" s="149"/>
      <c r="J93" s="118"/>
    </row>
    <row r="94" spans="2:10" s="56" customFormat="1" x14ac:dyDescent="0.2">
      <c r="B94" s="149"/>
      <c r="C94" s="149"/>
      <c r="D94" s="149"/>
      <c r="E94" s="149"/>
      <c r="F94" s="149"/>
      <c r="G94" s="149"/>
      <c r="H94" s="149"/>
      <c r="I94" s="149"/>
      <c r="J94" s="118"/>
    </row>
    <row r="95" spans="2:10" s="56" customFormat="1" x14ac:dyDescent="0.2">
      <c r="B95" s="149"/>
      <c r="C95" s="149"/>
      <c r="D95" s="149"/>
      <c r="E95" s="149"/>
      <c r="F95" s="149"/>
      <c r="G95" s="149"/>
      <c r="H95" s="149"/>
      <c r="I95" s="149"/>
      <c r="J95" s="118"/>
    </row>
    <row r="96" spans="2:10" s="56" customFormat="1" x14ac:dyDescent="0.2">
      <c r="B96" s="149"/>
      <c r="C96" s="149"/>
      <c r="D96" s="149"/>
      <c r="E96" s="149"/>
      <c r="F96" s="149"/>
      <c r="G96" s="149"/>
      <c r="H96" s="149"/>
      <c r="I96" s="149"/>
      <c r="J96" s="118"/>
    </row>
    <row r="97" spans="2:10" s="56" customFormat="1" x14ac:dyDescent="0.2">
      <c r="B97" s="149"/>
      <c r="C97" s="149"/>
      <c r="D97" s="149"/>
      <c r="E97" s="149"/>
      <c r="F97" s="149"/>
      <c r="G97" s="149"/>
      <c r="H97" s="149"/>
      <c r="I97" s="149"/>
      <c r="J97" s="118"/>
    </row>
    <row r="98" spans="2:10" s="56" customFormat="1" x14ac:dyDescent="0.2">
      <c r="B98" s="149"/>
      <c r="C98" s="149"/>
      <c r="D98" s="149"/>
      <c r="E98" s="149"/>
      <c r="F98" s="149"/>
      <c r="G98" s="149"/>
      <c r="H98" s="149"/>
      <c r="I98" s="149"/>
      <c r="J98" s="118"/>
    </row>
    <row r="99" spans="2:10" s="56" customFormat="1" x14ac:dyDescent="0.2">
      <c r="B99" s="149"/>
      <c r="C99" s="149"/>
      <c r="D99" s="149"/>
      <c r="E99" s="149"/>
      <c r="F99" s="149"/>
      <c r="G99" s="149"/>
      <c r="H99" s="149"/>
      <c r="I99" s="149"/>
      <c r="J99" s="118"/>
    </row>
    <row r="100" spans="2:10" s="56" customFormat="1" x14ac:dyDescent="0.2">
      <c r="B100" s="149"/>
      <c r="C100" s="149"/>
      <c r="D100" s="149"/>
      <c r="E100" s="149"/>
      <c r="F100" s="149"/>
      <c r="G100" s="149"/>
      <c r="H100" s="149"/>
      <c r="I100" s="149"/>
      <c r="J100" s="118"/>
    </row>
    <row r="101" spans="2:10" s="56" customFormat="1" x14ac:dyDescent="0.2">
      <c r="B101" s="149"/>
      <c r="C101" s="149"/>
      <c r="D101" s="149"/>
      <c r="E101" s="149"/>
      <c r="F101" s="149"/>
      <c r="G101" s="149"/>
      <c r="H101" s="149"/>
      <c r="I101" s="149"/>
      <c r="J101" s="118"/>
    </row>
    <row r="102" spans="2:10" s="56" customFormat="1" x14ac:dyDescent="0.2">
      <c r="B102" s="149"/>
      <c r="C102" s="149"/>
      <c r="D102" s="149"/>
      <c r="E102" s="149"/>
      <c r="F102" s="149"/>
      <c r="G102" s="149"/>
      <c r="H102" s="149"/>
      <c r="I102" s="149"/>
      <c r="J102" s="118"/>
    </row>
    <row r="103" spans="2:10" s="56" customFormat="1" x14ac:dyDescent="0.2">
      <c r="B103" s="149"/>
      <c r="C103" s="149"/>
      <c r="D103" s="149"/>
      <c r="E103" s="149"/>
      <c r="F103" s="149"/>
      <c r="G103" s="149"/>
      <c r="H103" s="149"/>
      <c r="I103" s="149"/>
      <c r="J103" s="118"/>
    </row>
    <row r="104" spans="2:10" s="56" customFormat="1" x14ac:dyDescent="0.2">
      <c r="B104" s="149"/>
      <c r="C104" s="149"/>
      <c r="D104" s="149"/>
      <c r="E104" s="149"/>
      <c r="F104" s="149"/>
      <c r="G104" s="149"/>
      <c r="H104" s="149"/>
      <c r="I104" s="149"/>
      <c r="J104" s="118"/>
    </row>
    <row r="105" spans="2:10" s="56" customFormat="1" x14ac:dyDescent="0.2">
      <c r="B105" s="149"/>
      <c r="C105" s="149"/>
      <c r="D105" s="149"/>
      <c r="E105" s="149"/>
      <c r="F105" s="149"/>
      <c r="G105" s="149"/>
      <c r="H105" s="149"/>
      <c r="I105" s="149"/>
      <c r="J105" s="118"/>
    </row>
    <row r="106" spans="2:10" s="56" customFormat="1" x14ac:dyDescent="0.2">
      <c r="B106" s="149"/>
      <c r="C106" s="149"/>
      <c r="D106" s="149"/>
      <c r="E106" s="149"/>
      <c r="F106" s="149"/>
      <c r="G106" s="149"/>
      <c r="H106" s="149"/>
      <c r="I106" s="149"/>
      <c r="J106" s="118"/>
    </row>
    <row r="107" spans="2:10" s="56" customFormat="1" x14ac:dyDescent="0.2">
      <c r="B107" s="149"/>
      <c r="C107" s="149"/>
      <c r="D107" s="149"/>
      <c r="E107" s="149"/>
      <c r="F107" s="149"/>
      <c r="G107" s="149"/>
      <c r="H107" s="149"/>
      <c r="I107" s="149"/>
      <c r="J107" s="118"/>
    </row>
    <row r="108" spans="2:10" s="56" customFormat="1" x14ac:dyDescent="0.2">
      <c r="B108" s="149"/>
      <c r="C108" s="149"/>
      <c r="D108" s="149"/>
      <c r="E108" s="149"/>
      <c r="F108" s="149"/>
      <c r="G108" s="149"/>
      <c r="H108" s="149"/>
      <c r="I108" s="149"/>
      <c r="J108" s="118"/>
    </row>
    <row r="109" spans="2:10" s="56" customFormat="1" x14ac:dyDescent="0.2">
      <c r="B109" s="149"/>
      <c r="C109" s="149"/>
      <c r="D109" s="149"/>
      <c r="E109" s="149"/>
      <c r="F109" s="149"/>
      <c r="G109" s="149"/>
      <c r="H109" s="149"/>
      <c r="I109" s="149"/>
      <c r="J109" s="118"/>
    </row>
    <row r="110" spans="2:10" s="56" customFormat="1" x14ac:dyDescent="0.2">
      <c r="B110" s="149"/>
      <c r="C110" s="149"/>
      <c r="D110" s="149"/>
      <c r="E110" s="149"/>
      <c r="F110" s="149"/>
      <c r="G110" s="149"/>
      <c r="H110" s="149"/>
      <c r="I110" s="149"/>
      <c r="J110" s="118"/>
    </row>
    <row r="111" spans="2:10" s="56" customFormat="1" x14ac:dyDescent="0.2">
      <c r="B111" s="149"/>
      <c r="C111" s="149"/>
      <c r="D111" s="149"/>
      <c r="E111" s="149"/>
      <c r="F111" s="149"/>
      <c r="G111" s="149"/>
      <c r="H111" s="149"/>
      <c r="I111" s="149"/>
      <c r="J111" s="118"/>
    </row>
    <row r="112" spans="2:10" s="56" customFormat="1" x14ac:dyDescent="0.2">
      <c r="B112" s="149"/>
      <c r="C112" s="149"/>
      <c r="D112" s="149"/>
      <c r="E112" s="149"/>
      <c r="F112" s="149"/>
      <c r="G112" s="149"/>
      <c r="H112" s="149"/>
      <c r="I112" s="149"/>
      <c r="J112" s="118"/>
    </row>
    <row r="113" spans="2:10" s="56" customFormat="1" x14ac:dyDescent="0.2">
      <c r="B113" s="149"/>
      <c r="C113" s="149"/>
      <c r="D113" s="149"/>
      <c r="E113" s="149"/>
      <c r="F113" s="149"/>
      <c r="G113" s="149"/>
      <c r="H113" s="149"/>
      <c r="I113" s="149"/>
      <c r="J113" s="118"/>
    </row>
    <row r="114" spans="2:10" s="56" customFormat="1" x14ac:dyDescent="0.2">
      <c r="B114" s="149"/>
      <c r="C114" s="149"/>
      <c r="D114" s="149"/>
      <c r="E114" s="149"/>
      <c r="F114" s="149"/>
      <c r="G114" s="149"/>
      <c r="H114" s="149"/>
      <c r="I114" s="149"/>
      <c r="J114" s="118"/>
    </row>
    <row r="115" spans="2:10" s="56" customFormat="1" x14ac:dyDescent="0.2">
      <c r="B115" s="149"/>
      <c r="C115" s="149"/>
      <c r="D115" s="149"/>
      <c r="E115" s="149"/>
      <c r="F115" s="149"/>
      <c r="G115" s="149"/>
      <c r="H115" s="149"/>
      <c r="I115" s="149"/>
      <c r="J115" s="118"/>
    </row>
    <row r="116" spans="2:10" s="56" customFormat="1" x14ac:dyDescent="0.2">
      <c r="B116" s="149"/>
      <c r="C116" s="149"/>
      <c r="D116" s="149"/>
      <c r="E116" s="149"/>
      <c r="F116" s="149"/>
      <c r="G116" s="149"/>
      <c r="H116" s="149"/>
      <c r="I116" s="149"/>
      <c r="J116" s="118"/>
    </row>
    <row r="117" spans="2:10" s="56" customFormat="1" x14ac:dyDescent="0.2">
      <c r="B117" s="149"/>
      <c r="C117" s="149"/>
      <c r="D117" s="149"/>
      <c r="E117" s="149"/>
      <c r="F117" s="149"/>
      <c r="G117" s="149"/>
      <c r="H117" s="149"/>
      <c r="I117" s="149"/>
      <c r="J117" s="118"/>
    </row>
  </sheetData>
  <phoneticPr fontId="27" type="noConversion"/>
  <pageMargins left="0.74803149606299213" right="0.74803149606299213" top="0.98425196850393704" bottom="0.98425196850393704" header="0.51181102362204722" footer="0.51181102362204722"/>
  <pageSetup paperSize="9" scale="60" fitToHeight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showGridLines="0" view="pageBreakPreview" zoomScaleNormal="100" workbookViewId="0">
      <selection activeCell="P38" sqref="P38"/>
    </sheetView>
  </sheetViews>
  <sheetFormatPr defaultColWidth="9.109375" defaultRowHeight="10.199999999999999" x14ac:dyDescent="0.2"/>
  <cols>
    <col min="1" max="1" width="3.44140625" style="251" customWidth="1"/>
    <col min="2" max="2" width="41.33203125" style="251" customWidth="1"/>
    <col min="3" max="8" width="14.6640625" style="251" customWidth="1"/>
    <col min="9" max="16384" width="9.109375" style="251"/>
  </cols>
  <sheetData>
    <row r="1" spans="2:10" s="149" customFormat="1" x14ac:dyDescent="0.2">
      <c r="B1" s="265"/>
    </row>
    <row r="2" spans="2:10" s="53" customFormat="1" ht="16.5" customHeight="1" x14ac:dyDescent="0.25">
      <c r="B2" s="534" t="s">
        <v>972</v>
      </c>
    </row>
    <row r="3" spans="2:10" s="53" customFormat="1" ht="12" customHeight="1" x14ac:dyDescent="0.2">
      <c r="B3" s="46"/>
    </row>
    <row r="4" spans="2:10" s="56" customFormat="1" x14ac:dyDescent="0.2">
      <c r="B4" s="134" t="s">
        <v>408</v>
      </c>
      <c r="C4" s="127"/>
      <c r="D4" s="127"/>
      <c r="E4" s="53"/>
      <c r="F4" s="127"/>
      <c r="G4" s="127"/>
      <c r="H4" s="127"/>
      <c r="I4" s="257"/>
      <c r="J4" s="257"/>
    </row>
    <row r="5" spans="2:10" s="56" customFormat="1" x14ac:dyDescent="0.2">
      <c r="B5" s="134"/>
      <c r="C5" s="127"/>
      <c r="D5" s="127"/>
      <c r="E5" s="53"/>
      <c r="F5" s="127"/>
      <c r="G5" s="127"/>
      <c r="H5" s="127"/>
      <c r="I5" s="257"/>
      <c r="J5" s="257"/>
    </row>
    <row r="6" spans="2:10" x14ac:dyDescent="0.2">
      <c r="B6" s="137" t="s">
        <v>416</v>
      </c>
      <c r="C6" s="627">
        <f>'Dane podstawowe'!$B$9</f>
        <v>42735</v>
      </c>
      <c r="D6" s="627">
        <f>'Dane podstawowe'!$B$14</f>
        <v>42369</v>
      </c>
      <c r="E6" s="127"/>
    </row>
    <row r="7" spans="2:10" x14ac:dyDescent="0.2">
      <c r="B7" s="268" t="s">
        <v>821</v>
      </c>
      <c r="C7" s="101">
        <v>0</v>
      </c>
      <c r="D7" s="101">
        <v>195881</v>
      </c>
      <c r="E7" s="127"/>
    </row>
    <row r="8" spans="2:10" x14ac:dyDescent="0.2">
      <c r="B8" s="201" t="s">
        <v>876</v>
      </c>
      <c r="C8" s="101">
        <v>214909</v>
      </c>
      <c r="D8" s="101">
        <v>214909</v>
      </c>
      <c r="E8" s="127"/>
    </row>
    <row r="9" spans="2:10" x14ac:dyDescent="0.2">
      <c r="B9" s="90" t="s">
        <v>191</v>
      </c>
      <c r="C9" s="145">
        <f>SUM(C7:C8)</f>
        <v>214909</v>
      </c>
      <c r="D9" s="145">
        <f>SUM(D7:D8)</f>
        <v>410790</v>
      </c>
      <c r="E9" s="127"/>
    </row>
    <row r="10" spans="2:10" x14ac:dyDescent="0.2">
      <c r="C10" s="393">
        <f>Aktywa!D6-'NOTA 11 - Wartość firmy'!C9</f>
        <v>0</v>
      </c>
      <c r="D10" s="393">
        <f>Aktywa!E6-'NOTA 11 - Wartość firmy'!D9</f>
        <v>0</v>
      </c>
      <c r="E10" s="127"/>
    </row>
    <row r="11" spans="2:10" x14ac:dyDescent="0.2">
      <c r="E11" s="127"/>
    </row>
    <row r="12" spans="2:10" x14ac:dyDescent="0.2">
      <c r="B12" s="131" t="s">
        <v>213</v>
      </c>
      <c r="E12" s="127"/>
    </row>
    <row r="13" spans="2:10" x14ac:dyDescent="0.2">
      <c r="B13" s="131"/>
      <c r="E13" s="127"/>
    </row>
    <row r="14" spans="2:10" x14ac:dyDescent="0.2">
      <c r="B14" s="126" t="s">
        <v>416</v>
      </c>
      <c r="C14" s="627">
        <f>'Dane podstawowe'!$B$9</f>
        <v>42735</v>
      </c>
      <c r="D14" s="627">
        <f>'Dane podstawowe'!$B$14</f>
        <v>42369</v>
      </c>
      <c r="E14" s="127"/>
    </row>
    <row r="15" spans="2:10" x14ac:dyDescent="0.2">
      <c r="B15" s="73" t="s">
        <v>117</v>
      </c>
      <c r="C15" s="160">
        <v>410790</v>
      </c>
      <c r="D15" s="160">
        <v>425530</v>
      </c>
      <c r="E15" s="127"/>
    </row>
    <row r="16" spans="2:10" x14ac:dyDescent="0.2">
      <c r="B16" s="405" t="s">
        <v>116</v>
      </c>
      <c r="C16" s="294">
        <f>SUM(C17:C20)</f>
        <v>0</v>
      </c>
      <c r="D16" s="294">
        <f>SUM(D17:D20)</f>
        <v>214909</v>
      </c>
      <c r="E16" s="127"/>
    </row>
    <row r="17" spans="2:5" x14ac:dyDescent="0.2">
      <c r="B17" s="268" t="s">
        <v>404</v>
      </c>
      <c r="C17" s="268"/>
      <c r="D17" s="268">
        <f>214909</f>
        <v>214909</v>
      </c>
      <c r="E17" s="127"/>
    </row>
    <row r="18" spans="2:5" ht="20.399999999999999" x14ac:dyDescent="0.2">
      <c r="B18" s="406" t="s">
        <v>405</v>
      </c>
      <c r="C18" s="268"/>
      <c r="D18" s="268"/>
      <c r="E18" s="127"/>
    </row>
    <row r="19" spans="2:5" ht="20.399999999999999" x14ac:dyDescent="0.2">
      <c r="B19" s="406" t="s">
        <v>208</v>
      </c>
      <c r="C19" s="268"/>
      <c r="D19" s="268"/>
      <c r="E19" s="127"/>
    </row>
    <row r="20" spans="2:5" x14ac:dyDescent="0.2">
      <c r="B20" s="268" t="s">
        <v>406</v>
      </c>
      <c r="C20" s="268"/>
      <c r="D20" s="268"/>
      <c r="E20" s="127"/>
    </row>
    <row r="21" spans="2:5" x14ac:dyDescent="0.2">
      <c r="B21" s="294" t="s">
        <v>115</v>
      </c>
      <c r="C21" s="294">
        <f>SUM(C22:C25)</f>
        <v>195881</v>
      </c>
      <c r="D21" s="294">
        <f>SUM(D22:D25)</f>
        <v>0</v>
      </c>
      <c r="E21" s="127"/>
    </row>
    <row r="22" spans="2:5" x14ac:dyDescent="0.2">
      <c r="B22" s="268" t="s">
        <v>484</v>
      </c>
      <c r="C22" s="268">
        <v>195881</v>
      </c>
      <c r="D22" s="268"/>
      <c r="E22" s="127"/>
    </row>
    <row r="23" spans="2:5" ht="20.399999999999999" x14ac:dyDescent="0.2">
      <c r="B23" s="406" t="s">
        <v>234</v>
      </c>
      <c r="C23" s="268"/>
      <c r="D23" s="268"/>
      <c r="E23" s="127"/>
    </row>
    <row r="24" spans="2:5" ht="20.399999999999999" x14ac:dyDescent="0.2">
      <c r="B24" s="406" t="s">
        <v>214</v>
      </c>
      <c r="C24" s="268"/>
      <c r="D24" s="268"/>
      <c r="E24" s="127"/>
    </row>
    <row r="25" spans="2:5" s="149" customFormat="1" ht="20.399999999999999" x14ac:dyDescent="0.2">
      <c r="B25" s="406" t="s">
        <v>208</v>
      </c>
      <c r="C25" s="268"/>
      <c r="D25" s="268"/>
      <c r="E25" s="127"/>
    </row>
    <row r="26" spans="2:5" x14ac:dyDescent="0.2">
      <c r="B26" s="73" t="s">
        <v>118</v>
      </c>
      <c r="C26" s="160">
        <f>C15+C16-C21</f>
        <v>214909</v>
      </c>
      <c r="D26" s="160">
        <f>D15+D16-D21</f>
        <v>640439</v>
      </c>
      <c r="E26" s="127"/>
    </row>
    <row r="27" spans="2:5" x14ac:dyDescent="0.2">
      <c r="B27" s="73"/>
      <c r="C27" s="160"/>
      <c r="D27" s="160"/>
      <c r="E27" s="127"/>
    </row>
    <row r="28" spans="2:5" ht="20.399999999999999" x14ac:dyDescent="0.2">
      <c r="B28" s="73" t="s">
        <v>119</v>
      </c>
      <c r="C28" s="161">
        <f>D31</f>
        <v>229649</v>
      </c>
      <c r="D28" s="161">
        <v>160315</v>
      </c>
      <c r="E28" s="127"/>
    </row>
    <row r="29" spans="2:5" ht="20.399999999999999" x14ac:dyDescent="0.2">
      <c r="B29" s="267" t="s">
        <v>407</v>
      </c>
      <c r="C29" s="268"/>
      <c r="D29" s="268">
        <v>229649</v>
      </c>
      <c r="E29" s="127"/>
    </row>
    <row r="30" spans="2:5" x14ac:dyDescent="0.2">
      <c r="B30" s="267" t="s">
        <v>419</v>
      </c>
      <c r="C30" s="268">
        <v>-229649</v>
      </c>
      <c r="D30" s="268">
        <v>-160315</v>
      </c>
      <c r="E30" s="127"/>
    </row>
    <row r="31" spans="2:5" s="269" customFormat="1" ht="20.399999999999999" x14ac:dyDescent="0.25">
      <c r="B31" s="125" t="s">
        <v>120</v>
      </c>
      <c r="C31" s="161">
        <f>SUM(C28:C30)</f>
        <v>0</v>
      </c>
      <c r="D31" s="161">
        <f>SUM(D28:D30)</f>
        <v>229649</v>
      </c>
      <c r="E31" s="127"/>
    </row>
    <row r="32" spans="2:5" s="269" customFormat="1" ht="8.25" customHeight="1" x14ac:dyDescent="0.25">
      <c r="B32" s="125"/>
      <c r="C32" s="161"/>
      <c r="D32" s="161"/>
      <c r="E32" s="127"/>
    </row>
    <row r="33" spans="2:6" x14ac:dyDescent="0.2">
      <c r="B33" s="67" t="s">
        <v>191</v>
      </c>
      <c r="C33" s="116">
        <f>C26-C31</f>
        <v>214909</v>
      </c>
      <c r="D33" s="116">
        <f>D26-D31</f>
        <v>410790</v>
      </c>
      <c r="E33" s="127"/>
    </row>
    <row r="34" spans="2:6" x14ac:dyDescent="0.2">
      <c r="B34" s="53"/>
      <c r="C34" s="403">
        <f>Aktywa!D6-'NOTA 11 - Wartość firmy'!C33</f>
        <v>0</v>
      </c>
      <c r="D34" s="403">
        <f>Aktywa!E6-'NOTA 11 - Wartość firmy'!D33</f>
        <v>0</v>
      </c>
      <c r="E34" s="127"/>
    </row>
    <row r="35" spans="2:6" x14ac:dyDescent="0.2">
      <c r="B35" s="53"/>
      <c r="C35" s="53"/>
      <c r="D35" s="53"/>
      <c r="E35" s="53"/>
      <c r="F35" s="127"/>
    </row>
  </sheetData>
  <phoneticPr fontId="32" type="noConversion"/>
  <pageMargins left="0.75" right="0.75" top="1" bottom="1" header="0.5" footer="0.5"/>
  <pageSetup paperSize="9"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8">
    <tabColor theme="0"/>
  </sheetPr>
  <dimension ref="A2:I65"/>
  <sheetViews>
    <sheetView showGridLines="0" view="pageBreakPreview" zoomScaleNormal="100" workbookViewId="0">
      <selection activeCell="A56" sqref="A56:XFD101"/>
    </sheetView>
  </sheetViews>
  <sheetFormatPr defaultColWidth="9.109375" defaultRowHeight="10.199999999999999" x14ac:dyDescent="0.2"/>
  <cols>
    <col min="1" max="1" width="49.109375" style="270" customWidth="1"/>
    <col min="2" max="2" width="13.6640625" style="270" customWidth="1"/>
    <col min="3" max="3" width="17" style="270" customWidth="1"/>
    <col min="4" max="4" width="20" style="270" customWidth="1"/>
    <col min="5" max="5" width="13.5546875" style="270" customWidth="1"/>
    <col min="6" max="6" width="11.5546875" style="270" customWidth="1"/>
    <col min="7" max="7" width="12.44140625" style="270" customWidth="1"/>
    <col min="8" max="8" width="10.109375" style="270" customWidth="1"/>
    <col min="9" max="9" width="10.44140625" style="270" customWidth="1"/>
    <col min="10" max="16384" width="9.109375" style="270"/>
  </cols>
  <sheetData>
    <row r="2" spans="1:7" ht="13.2" x14ac:dyDescent="0.25">
      <c r="A2" s="534" t="s">
        <v>973</v>
      </c>
      <c r="B2" s="534"/>
      <c r="C2" s="534"/>
      <c r="D2" s="534"/>
      <c r="E2" s="534"/>
      <c r="F2" s="534"/>
    </row>
    <row r="4" spans="1:7" x14ac:dyDescent="0.2">
      <c r="A4" s="318" t="s">
        <v>888</v>
      </c>
    </row>
    <row r="5" spans="1:7" x14ac:dyDescent="0.2">
      <c r="A5" s="272"/>
    </row>
    <row r="6" spans="1:7" s="274" customFormat="1" ht="45.9" customHeight="1" x14ac:dyDescent="0.25">
      <c r="A6" s="276" t="s">
        <v>197</v>
      </c>
      <c r="B6" s="276" t="s">
        <v>215</v>
      </c>
      <c r="C6" s="276" t="s">
        <v>216</v>
      </c>
      <c r="D6" s="276" t="s">
        <v>217</v>
      </c>
      <c r="E6" s="276" t="s">
        <v>621</v>
      </c>
      <c r="F6" s="276" t="s">
        <v>622</v>
      </c>
      <c r="G6" s="276" t="s">
        <v>623</v>
      </c>
    </row>
    <row r="7" spans="1:7" s="244" customFormat="1" x14ac:dyDescent="0.2">
      <c r="A7" s="112" t="s">
        <v>287</v>
      </c>
      <c r="B7" s="190">
        <f>SUM(B8:B12)</f>
        <v>0</v>
      </c>
      <c r="C7" s="190">
        <f>SUM(C8:C12)</f>
        <v>0</v>
      </c>
      <c r="D7" s="190">
        <f>SUM(D8:D12)</f>
        <v>0</v>
      </c>
      <c r="E7" s="190">
        <f>SUM(E8:E12)</f>
        <v>0</v>
      </c>
      <c r="F7" s="190"/>
      <c r="G7" s="190"/>
    </row>
    <row r="8" spans="1:7" s="244" customFormat="1" x14ac:dyDescent="0.2">
      <c r="A8" s="449"/>
      <c r="B8" s="208">
        <v>0</v>
      </c>
      <c r="C8" s="208">
        <v>0</v>
      </c>
      <c r="D8" s="208">
        <v>0</v>
      </c>
      <c r="E8" s="208">
        <f>B8+C8+D8</f>
        <v>0</v>
      </c>
      <c r="F8" s="208"/>
      <c r="G8" s="208"/>
    </row>
    <row r="9" spans="1:7" s="244" customFormat="1" x14ac:dyDescent="0.2">
      <c r="A9" s="449"/>
      <c r="B9" s="208">
        <v>0</v>
      </c>
      <c r="C9" s="208">
        <v>0</v>
      </c>
      <c r="D9" s="208">
        <v>0</v>
      </c>
      <c r="E9" s="208">
        <f t="shared" ref="E9:E18" si="0">B9+C9+D9</f>
        <v>0</v>
      </c>
      <c r="F9" s="208"/>
      <c r="G9" s="208"/>
    </row>
    <row r="10" spans="1:7" s="244" customFormat="1" hidden="1" x14ac:dyDescent="0.2">
      <c r="A10" s="454" t="s">
        <v>288</v>
      </c>
      <c r="B10" s="208"/>
      <c r="C10" s="208"/>
      <c r="D10" s="208"/>
      <c r="E10" s="208">
        <f t="shared" si="0"/>
        <v>0</v>
      </c>
      <c r="F10" s="208"/>
      <c r="G10" s="208"/>
    </row>
    <row r="11" spans="1:7" s="244" customFormat="1" hidden="1" x14ac:dyDescent="0.2">
      <c r="A11" s="454" t="s">
        <v>288</v>
      </c>
      <c r="B11" s="208"/>
      <c r="C11" s="208"/>
      <c r="D11" s="208"/>
      <c r="E11" s="208">
        <f t="shared" si="0"/>
        <v>0</v>
      </c>
      <c r="F11" s="208"/>
      <c r="G11" s="208"/>
    </row>
    <row r="12" spans="1:7" s="244" customFormat="1" hidden="1" x14ac:dyDescent="0.2">
      <c r="A12" s="454" t="s">
        <v>288</v>
      </c>
      <c r="B12" s="208"/>
      <c r="C12" s="208"/>
      <c r="D12" s="208"/>
      <c r="E12" s="208">
        <f t="shared" si="0"/>
        <v>0</v>
      </c>
      <c r="F12" s="208"/>
      <c r="G12" s="208"/>
    </row>
    <row r="13" spans="1:7" s="244" customFormat="1" x14ac:dyDescent="0.2">
      <c r="A13" s="112" t="s">
        <v>736</v>
      </c>
      <c r="B13" s="190">
        <f>SUM(B14:B18)</f>
        <v>0</v>
      </c>
      <c r="C13" s="190">
        <f>SUM(C14:C18)</f>
        <v>0</v>
      </c>
      <c r="D13" s="190">
        <f>SUM(D14:D18)</f>
        <v>0</v>
      </c>
      <c r="E13" s="190">
        <f>SUM(E14:E18)</f>
        <v>0</v>
      </c>
      <c r="F13" s="190"/>
      <c r="G13" s="190"/>
    </row>
    <row r="14" spans="1:7" s="244" customFormat="1" hidden="1" x14ac:dyDescent="0.2">
      <c r="A14" s="454" t="s">
        <v>288</v>
      </c>
      <c r="B14" s="208"/>
      <c r="C14" s="208"/>
      <c r="D14" s="208"/>
      <c r="E14" s="208">
        <f t="shared" si="0"/>
        <v>0</v>
      </c>
      <c r="F14" s="208"/>
      <c r="G14" s="208"/>
    </row>
    <row r="15" spans="1:7" s="244" customFormat="1" hidden="1" x14ac:dyDescent="0.2">
      <c r="A15" s="454" t="s">
        <v>288</v>
      </c>
      <c r="B15" s="208"/>
      <c r="C15" s="208"/>
      <c r="D15" s="208"/>
      <c r="E15" s="208">
        <f t="shared" si="0"/>
        <v>0</v>
      </c>
      <c r="F15" s="208"/>
      <c r="G15" s="208"/>
    </row>
    <row r="16" spans="1:7" s="244" customFormat="1" hidden="1" x14ac:dyDescent="0.2">
      <c r="A16" s="454" t="s">
        <v>288</v>
      </c>
      <c r="B16" s="208"/>
      <c r="C16" s="208"/>
      <c r="D16" s="208"/>
      <c r="E16" s="208">
        <f t="shared" si="0"/>
        <v>0</v>
      </c>
      <c r="F16" s="208"/>
      <c r="G16" s="208"/>
    </row>
    <row r="17" spans="1:9" s="244" customFormat="1" hidden="1" x14ac:dyDescent="0.2">
      <c r="A17" s="454" t="s">
        <v>288</v>
      </c>
      <c r="B17" s="208"/>
      <c r="C17" s="208"/>
      <c r="D17" s="208"/>
      <c r="E17" s="208">
        <f t="shared" si="0"/>
        <v>0</v>
      </c>
      <c r="F17" s="208"/>
      <c r="G17" s="208"/>
    </row>
    <row r="18" spans="1:9" s="244" customFormat="1" hidden="1" x14ac:dyDescent="0.2">
      <c r="A18" s="454" t="s">
        <v>288</v>
      </c>
      <c r="B18" s="208"/>
      <c r="C18" s="208"/>
      <c r="D18" s="208"/>
      <c r="E18" s="208">
        <f t="shared" si="0"/>
        <v>0</v>
      </c>
      <c r="F18" s="208"/>
      <c r="G18" s="208"/>
    </row>
    <row r="19" spans="1:9" s="142" customFormat="1" x14ac:dyDescent="0.2">
      <c r="A19" s="443" t="s">
        <v>636</v>
      </c>
      <c r="B19" s="413">
        <f>B13+B7</f>
        <v>0</v>
      </c>
      <c r="C19" s="413">
        <f>C13+C7</f>
        <v>0</v>
      </c>
      <c r="D19" s="413">
        <f>D13+D7</f>
        <v>0</v>
      </c>
      <c r="E19" s="413">
        <f>E13+E7</f>
        <v>0</v>
      </c>
      <c r="F19" s="413"/>
      <c r="G19" s="413"/>
    </row>
    <row r="20" spans="1:9" x14ac:dyDescent="0.2">
      <c r="A20" s="277"/>
      <c r="E20" s="400">
        <f>Aktywa!D8-E19</f>
        <v>0</v>
      </c>
    </row>
    <row r="21" spans="1:9" x14ac:dyDescent="0.2">
      <c r="A21" s="277"/>
    </row>
    <row r="22" spans="1:9" x14ac:dyDescent="0.2">
      <c r="A22" s="318" t="s">
        <v>868</v>
      </c>
    </row>
    <row r="23" spans="1:9" x14ac:dyDescent="0.2">
      <c r="A23" s="272"/>
    </row>
    <row r="24" spans="1:9" ht="46.5" customHeight="1" x14ac:dyDescent="0.2">
      <c r="A24" s="276" t="s">
        <v>197</v>
      </c>
      <c r="B24" s="276" t="s">
        <v>215</v>
      </c>
      <c r="C24" s="276" t="s">
        <v>216</v>
      </c>
      <c r="D24" s="276" t="s">
        <v>217</v>
      </c>
      <c r="E24" s="276" t="s">
        <v>621</v>
      </c>
      <c r="F24" s="276" t="s">
        <v>622</v>
      </c>
      <c r="G24" s="276" t="s">
        <v>623</v>
      </c>
      <c r="H24" s="274"/>
      <c r="I24" s="274"/>
    </row>
    <row r="25" spans="1:9" s="244" customFormat="1" x14ac:dyDescent="0.2">
      <c r="A25" s="112" t="s">
        <v>287</v>
      </c>
      <c r="B25" s="190">
        <f>SUM(B26:B30)</f>
        <v>588840</v>
      </c>
      <c r="C25" s="190">
        <f>SUM(C26:C30)</f>
        <v>-513880</v>
      </c>
      <c r="D25" s="190">
        <f>SUM(D26:D30)</f>
        <v>-74960</v>
      </c>
      <c r="E25" s="190"/>
      <c r="F25" s="190"/>
      <c r="G25" s="190"/>
    </row>
    <row r="26" spans="1:9" s="244" customFormat="1" x14ac:dyDescent="0.2">
      <c r="A26" s="449" t="s">
        <v>806</v>
      </c>
      <c r="B26" s="208"/>
      <c r="C26" s="208"/>
      <c r="D26" s="208">
        <v>0</v>
      </c>
      <c r="E26" s="208"/>
      <c r="F26" s="208"/>
      <c r="G26" s="208"/>
    </row>
    <row r="27" spans="1:9" s="244" customFormat="1" x14ac:dyDescent="0.2">
      <c r="A27" s="449" t="s">
        <v>807</v>
      </c>
      <c r="B27" s="208">
        <v>588840</v>
      </c>
      <c r="C27" s="208">
        <v>-513880</v>
      </c>
      <c r="D27" s="208">
        <v>-74960</v>
      </c>
      <c r="E27" s="208"/>
      <c r="F27" s="208"/>
      <c r="G27" s="208"/>
    </row>
    <row r="28" spans="1:9" s="244" customFormat="1" hidden="1" x14ac:dyDescent="0.2">
      <c r="A28" s="454" t="s">
        <v>288</v>
      </c>
      <c r="B28" s="208"/>
      <c r="C28" s="208"/>
      <c r="D28" s="208"/>
      <c r="E28" s="208">
        <f t="shared" ref="E28:E30" si="1">B28+C28+D28</f>
        <v>0</v>
      </c>
      <c r="F28" s="208"/>
      <c r="G28" s="208"/>
    </row>
    <row r="29" spans="1:9" s="244" customFormat="1" hidden="1" x14ac:dyDescent="0.2">
      <c r="A29" s="454" t="s">
        <v>288</v>
      </c>
      <c r="B29" s="208"/>
      <c r="C29" s="208"/>
      <c r="D29" s="208"/>
      <c r="E29" s="208">
        <f t="shared" si="1"/>
        <v>0</v>
      </c>
      <c r="F29" s="208"/>
      <c r="G29" s="208"/>
    </row>
    <row r="30" spans="1:9" s="244" customFormat="1" hidden="1" x14ac:dyDescent="0.2">
      <c r="A30" s="454" t="s">
        <v>288</v>
      </c>
      <c r="B30" s="208"/>
      <c r="C30" s="208"/>
      <c r="D30" s="208"/>
      <c r="E30" s="208">
        <f t="shared" si="1"/>
        <v>0</v>
      </c>
      <c r="F30" s="208"/>
      <c r="G30" s="208"/>
    </row>
    <row r="31" spans="1:9" s="244" customFormat="1" x14ac:dyDescent="0.2">
      <c r="A31" s="112" t="s">
        <v>736</v>
      </c>
      <c r="B31" s="190">
        <f>SUM(B32:B36)</f>
        <v>0</v>
      </c>
      <c r="C31" s="190">
        <f>SUM(C32:C36)</f>
        <v>0</v>
      </c>
      <c r="D31" s="190">
        <f>SUM(D32:D36)</f>
        <v>0</v>
      </c>
      <c r="E31" s="190"/>
      <c r="F31" s="190"/>
      <c r="G31" s="190"/>
    </row>
    <row r="32" spans="1:9" s="244" customFormat="1" hidden="1" x14ac:dyDescent="0.2">
      <c r="A32" s="454" t="s">
        <v>288</v>
      </c>
      <c r="B32" s="208"/>
      <c r="C32" s="208"/>
      <c r="D32" s="208"/>
      <c r="E32" s="208">
        <f t="shared" ref="E32:E36" si="2">B32+C32+D32</f>
        <v>0</v>
      </c>
      <c r="F32" s="208"/>
      <c r="G32" s="208"/>
    </row>
    <row r="33" spans="1:7" s="244" customFormat="1" hidden="1" x14ac:dyDescent="0.2">
      <c r="A33" s="454" t="s">
        <v>288</v>
      </c>
      <c r="B33" s="208"/>
      <c r="C33" s="208"/>
      <c r="D33" s="208"/>
      <c r="E33" s="208">
        <f t="shared" si="2"/>
        <v>0</v>
      </c>
      <c r="F33" s="208"/>
      <c r="G33" s="208"/>
    </row>
    <row r="34" spans="1:7" s="244" customFormat="1" hidden="1" x14ac:dyDescent="0.2">
      <c r="A34" s="454" t="s">
        <v>288</v>
      </c>
      <c r="B34" s="208"/>
      <c r="C34" s="208"/>
      <c r="D34" s="208"/>
      <c r="E34" s="208">
        <f t="shared" si="2"/>
        <v>0</v>
      </c>
      <c r="F34" s="208"/>
      <c r="G34" s="208"/>
    </row>
    <row r="35" spans="1:7" s="244" customFormat="1" hidden="1" x14ac:dyDescent="0.2">
      <c r="A35" s="454" t="s">
        <v>288</v>
      </c>
      <c r="B35" s="208"/>
      <c r="C35" s="208"/>
      <c r="D35" s="208"/>
      <c r="E35" s="208">
        <f t="shared" si="2"/>
        <v>0</v>
      </c>
      <c r="F35" s="208"/>
      <c r="G35" s="208"/>
    </row>
    <row r="36" spans="1:7" s="244" customFormat="1" hidden="1" x14ac:dyDescent="0.2">
      <c r="A36" s="454" t="s">
        <v>288</v>
      </c>
      <c r="B36" s="208"/>
      <c r="C36" s="208"/>
      <c r="D36" s="208"/>
      <c r="E36" s="208">
        <f t="shared" si="2"/>
        <v>0</v>
      </c>
      <c r="F36" s="208"/>
      <c r="G36" s="208"/>
    </row>
    <row r="37" spans="1:7" s="142" customFormat="1" x14ac:dyDescent="0.2">
      <c r="A37" s="443" t="s">
        <v>636</v>
      </c>
      <c r="B37" s="413">
        <f>B31+B25</f>
        <v>588840</v>
      </c>
      <c r="C37" s="413">
        <f>C31+C25</f>
        <v>-513880</v>
      </c>
      <c r="D37" s="413">
        <f>D31+D25</f>
        <v>-74960</v>
      </c>
      <c r="E37" s="413"/>
      <c r="F37" s="413"/>
      <c r="G37" s="413"/>
    </row>
    <row r="38" spans="1:7" x14ac:dyDescent="0.2">
      <c r="A38" s="277"/>
      <c r="E38" s="400">
        <f>Aktywa!E8-'NOTA 12 - Inwest. jedn. stow.'!E37</f>
        <v>0</v>
      </c>
    </row>
    <row r="39" spans="1:7" x14ac:dyDescent="0.2">
      <c r="A39" s="277"/>
      <c r="E39" s="401"/>
    </row>
    <row r="40" spans="1:7" x14ac:dyDescent="0.2">
      <c r="A40" s="68" t="s">
        <v>737</v>
      </c>
      <c r="E40" s="401"/>
    </row>
    <row r="41" spans="1:7" x14ac:dyDescent="0.2">
      <c r="A41" s="272"/>
      <c r="E41" s="401"/>
    </row>
    <row r="42" spans="1:7" x14ac:dyDescent="0.2">
      <c r="A42" s="271" t="s">
        <v>416</v>
      </c>
      <c r="B42" s="634">
        <f>'Dane podstawowe'!$B$9</f>
        <v>42735</v>
      </c>
      <c r="C42" s="634">
        <f>'Dane podstawowe'!$B$14</f>
        <v>42369</v>
      </c>
      <c r="D42" s="401"/>
    </row>
    <row r="43" spans="1:7" x14ac:dyDescent="0.2">
      <c r="A43" s="407" t="s">
        <v>192</v>
      </c>
      <c r="B43" s="273"/>
      <c r="C43" s="273">
        <v>74830</v>
      </c>
      <c r="D43" s="401"/>
    </row>
    <row r="44" spans="1:7" x14ac:dyDescent="0.2">
      <c r="A44" s="408" t="s">
        <v>193</v>
      </c>
      <c r="B44" s="409">
        <f>SUM(B45:B48)</f>
        <v>0</v>
      </c>
      <c r="C44" s="409">
        <f>SUM(C45:C48)</f>
        <v>130</v>
      </c>
      <c r="D44" s="401"/>
    </row>
    <row r="45" spans="1:7" x14ac:dyDescent="0.2">
      <c r="A45" s="410" t="s">
        <v>194</v>
      </c>
      <c r="B45" s="275"/>
      <c r="C45" s="275"/>
      <c r="D45" s="401"/>
    </row>
    <row r="46" spans="1:7" x14ac:dyDescent="0.2">
      <c r="A46" s="574" t="s">
        <v>837</v>
      </c>
      <c r="B46" s="275"/>
      <c r="C46" s="275">
        <v>0</v>
      </c>
      <c r="D46" s="401"/>
    </row>
    <row r="47" spans="1:7" x14ac:dyDescent="0.2">
      <c r="A47" s="574" t="s">
        <v>812</v>
      </c>
      <c r="B47" s="275"/>
      <c r="C47" s="275">
        <v>130</v>
      </c>
      <c r="D47" s="401"/>
    </row>
    <row r="48" spans="1:7" x14ac:dyDescent="0.2">
      <c r="A48" s="574" t="s">
        <v>810</v>
      </c>
      <c r="B48" s="275"/>
      <c r="C48" s="275">
        <v>0</v>
      </c>
      <c r="D48" s="401"/>
    </row>
    <row r="49" spans="1:4" x14ac:dyDescent="0.2">
      <c r="A49" s="408" t="s">
        <v>195</v>
      </c>
      <c r="B49" s="409">
        <f>SUM(B50:B52)</f>
        <v>0</v>
      </c>
      <c r="C49" s="409">
        <f>SUM(C50:C52)</f>
        <v>74960</v>
      </c>
      <c r="D49" s="401"/>
    </row>
    <row r="50" spans="1:4" x14ac:dyDescent="0.2">
      <c r="A50" s="574" t="s">
        <v>892</v>
      </c>
      <c r="B50" s="275"/>
      <c r="C50" s="275">
        <v>74960</v>
      </c>
      <c r="D50" s="401"/>
    </row>
    <row r="51" spans="1:4" x14ac:dyDescent="0.2">
      <c r="A51" s="574" t="s">
        <v>811</v>
      </c>
      <c r="B51" s="275"/>
      <c r="C51" s="275">
        <v>0</v>
      </c>
      <c r="D51" s="401"/>
    </row>
    <row r="52" spans="1:4" x14ac:dyDescent="0.2">
      <c r="A52" s="574" t="s">
        <v>809</v>
      </c>
      <c r="B52" s="275"/>
      <c r="C52" s="275">
        <v>0</v>
      </c>
      <c r="D52" s="401"/>
    </row>
    <row r="53" spans="1:4" x14ac:dyDescent="0.2">
      <c r="A53" s="411" t="s">
        <v>196</v>
      </c>
      <c r="B53" s="273">
        <f>B43+B44-B49</f>
        <v>0</v>
      </c>
      <c r="C53" s="273">
        <f>C43+C44-C49</f>
        <v>0</v>
      </c>
      <c r="D53" s="401"/>
    </row>
    <row r="54" spans="1:4" x14ac:dyDescent="0.2">
      <c r="B54" s="400">
        <f>Aktywa!D8-'NOTA 12 - Inwest. jedn. stow.'!B53</f>
        <v>0</v>
      </c>
      <c r="C54" s="400">
        <f>Aktywa!E8-'NOTA 12 - Inwest. jedn. stow.'!C53</f>
        <v>0</v>
      </c>
      <c r="D54" s="401"/>
    </row>
    <row r="55" spans="1:4" x14ac:dyDescent="0.2">
      <c r="A55" s="277"/>
    </row>
    <row r="65" spans="1:7" s="274" customFormat="1" ht="88.5" customHeight="1" x14ac:dyDescent="0.2">
      <c r="A65" s="270"/>
      <c r="B65" s="270"/>
      <c r="C65" s="270"/>
      <c r="D65" s="270"/>
      <c r="E65" s="270"/>
      <c r="F65" s="270"/>
      <c r="G65" s="270"/>
    </row>
  </sheetData>
  <phoneticPr fontId="29" type="noConversion"/>
  <pageMargins left="0.75" right="0.75" top="1" bottom="1" header="0.5" footer="0.5"/>
  <pageSetup paperSize="9" scale="65" orientation="portrait" r:id="rId1"/>
  <headerFooter alignWithMargins="0"/>
  <colBreaks count="1" manualBreakCount="1">
    <brk id="9" max="1048575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theme="0"/>
  </sheetPr>
  <dimension ref="A1:I36"/>
  <sheetViews>
    <sheetView showGridLines="0" view="pageBreakPreview" zoomScaleNormal="100" zoomScaleSheetLayoutView="100" workbookViewId="0">
      <selection activeCell="O38" sqref="O38"/>
    </sheetView>
  </sheetViews>
  <sheetFormatPr defaultRowHeight="10.199999999999999" x14ac:dyDescent="0.2"/>
  <cols>
    <col min="1" max="1" width="45.6640625" style="149" customWidth="1"/>
    <col min="2" max="3" width="14.33203125" style="149" customWidth="1"/>
    <col min="4" max="4" width="13.6640625" style="149" customWidth="1"/>
    <col min="5" max="5" width="13.5546875" style="149" customWidth="1"/>
    <col min="6" max="6" width="13.88671875" style="149" customWidth="1"/>
    <col min="7" max="7" width="18.6640625" style="149" customWidth="1"/>
    <col min="8" max="8" width="12.6640625" style="149" customWidth="1"/>
    <col min="9" max="9" width="13.33203125" style="149" customWidth="1"/>
    <col min="10" max="256" width="9.109375" style="149"/>
    <col min="257" max="257" width="45.6640625" style="149" customWidth="1"/>
    <col min="258" max="259" width="14.33203125" style="149" customWidth="1"/>
    <col min="260" max="260" width="13.6640625" style="149" customWidth="1"/>
    <col min="261" max="261" width="13.5546875" style="149" customWidth="1"/>
    <col min="262" max="262" width="13.88671875" style="149" customWidth="1"/>
    <col min="263" max="263" width="18.6640625" style="149" customWidth="1"/>
    <col min="264" max="264" width="12.6640625" style="149" customWidth="1"/>
    <col min="265" max="265" width="13.33203125" style="149" customWidth="1"/>
    <col min="266" max="512" width="9.109375" style="149"/>
    <col min="513" max="513" width="45.6640625" style="149" customWidth="1"/>
    <col min="514" max="515" width="14.33203125" style="149" customWidth="1"/>
    <col min="516" max="516" width="13.6640625" style="149" customWidth="1"/>
    <col min="517" max="517" width="13.5546875" style="149" customWidth="1"/>
    <col min="518" max="518" width="13.88671875" style="149" customWidth="1"/>
    <col min="519" max="519" width="18.6640625" style="149" customWidth="1"/>
    <col min="520" max="520" width="12.6640625" style="149" customWidth="1"/>
    <col min="521" max="521" width="13.33203125" style="149" customWidth="1"/>
    <col min="522" max="768" width="9.109375" style="149"/>
    <col min="769" max="769" width="45.6640625" style="149" customWidth="1"/>
    <col min="770" max="771" width="14.33203125" style="149" customWidth="1"/>
    <col min="772" max="772" width="13.6640625" style="149" customWidth="1"/>
    <col min="773" max="773" width="13.5546875" style="149" customWidth="1"/>
    <col min="774" max="774" width="13.88671875" style="149" customWidth="1"/>
    <col min="775" max="775" width="18.6640625" style="149" customWidth="1"/>
    <col min="776" max="776" width="12.6640625" style="149" customWidth="1"/>
    <col min="777" max="777" width="13.33203125" style="149" customWidth="1"/>
    <col min="778" max="1024" width="9.109375" style="149"/>
    <col min="1025" max="1025" width="45.6640625" style="149" customWidth="1"/>
    <col min="1026" max="1027" width="14.33203125" style="149" customWidth="1"/>
    <col min="1028" max="1028" width="13.6640625" style="149" customWidth="1"/>
    <col min="1029" max="1029" width="13.5546875" style="149" customWidth="1"/>
    <col min="1030" max="1030" width="13.88671875" style="149" customWidth="1"/>
    <col min="1031" max="1031" width="18.6640625" style="149" customWidth="1"/>
    <col min="1032" max="1032" width="12.6640625" style="149" customWidth="1"/>
    <col min="1033" max="1033" width="13.33203125" style="149" customWidth="1"/>
    <col min="1034" max="1280" width="9.109375" style="149"/>
    <col min="1281" max="1281" width="45.6640625" style="149" customWidth="1"/>
    <col min="1282" max="1283" width="14.33203125" style="149" customWidth="1"/>
    <col min="1284" max="1284" width="13.6640625" style="149" customWidth="1"/>
    <col min="1285" max="1285" width="13.5546875" style="149" customWidth="1"/>
    <col min="1286" max="1286" width="13.88671875" style="149" customWidth="1"/>
    <col min="1287" max="1287" width="18.6640625" style="149" customWidth="1"/>
    <col min="1288" max="1288" width="12.6640625" style="149" customWidth="1"/>
    <col min="1289" max="1289" width="13.33203125" style="149" customWidth="1"/>
    <col min="1290" max="1536" width="9.109375" style="149"/>
    <col min="1537" max="1537" width="45.6640625" style="149" customWidth="1"/>
    <col min="1538" max="1539" width="14.33203125" style="149" customWidth="1"/>
    <col min="1540" max="1540" width="13.6640625" style="149" customWidth="1"/>
    <col min="1541" max="1541" width="13.5546875" style="149" customWidth="1"/>
    <col min="1542" max="1542" width="13.88671875" style="149" customWidth="1"/>
    <col min="1543" max="1543" width="18.6640625" style="149" customWidth="1"/>
    <col min="1544" max="1544" width="12.6640625" style="149" customWidth="1"/>
    <col min="1545" max="1545" width="13.33203125" style="149" customWidth="1"/>
    <col min="1546" max="1792" width="9.109375" style="149"/>
    <col min="1793" max="1793" width="45.6640625" style="149" customWidth="1"/>
    <col min="1794" max="1795" width="14.33203125" style="149" customWidth="1"/>
    <col min="1796" max="1796" width="13.6640625" style="149" customWidth="1"/>
    <col min="1797" max="1797" width="13.5546875" style="149" customWidth="1"/>
    <col min="1798" max="1798" width="13.88671875" style="149" customWidth="1"/>
    <col min="1799" max="1799" width="18.6640625" style="149" customWidth="1"/>
    <col min="1800" max="1800" width="12.6640625" style="149" customWidth="1"/>
    <col min="1801" max="1801" width="13.33203125" style="149" customWidth="1"/>
    <col min="1802" max="2048" width="9.109375" style="149"/>
    <col min="2049" max="2049" width="45.6640625" style="149" customWidth="1"/>
    <col min="2050" max="2051" width="14.33203125" style="149" customWidth="1"/>
    <col min="2052" max="2052" width="13.6640625" style="149" customWidth="1"/>
    <col min="2053" max="2053" width="13.5546875" style="149" customWidth="1"/>
    <col min="2054" max="2054" width="13.88671875" style="149" customWidth="1"/>
    <col min="2055" max="2055" width="18.6640625" style="149" customWidth="1"/>
    <col min="2056" max="2056" width="12.6640625" style="149" customWidth="1"/>
    <col min="2057" max="2057" width="13.33203125" style="149" customWidth="1"/>
    <col min="2058" max="2304" width="9.109375" style="149"/>
    <col min="2305" max="2305" width="45.6640625" style="149" customWidth="1"/>
    <col min="2306" max="2307" width="14.33203125" style="149" customWidth="1"/>
    <col min="2308" max="2308" width="13.6640625" style="149" customWidth="1"/>
    <col min="2309" max="2309" width="13.5546875" style="149" customWidth="1"/>
    <col min="2310" max="2310" width="13.88671875" style="149" customWidth="1"/>
    <col min="2311" max="2311" width="18.6640625" style="149" customWidth="1"/>
    <col min="2312" max="2312" width="12.6640625" style="149" customWidth="1"/>
    <col min="2313" max="2313" width="13.33203125" style="149" customWidth="1"/>
    <col min="2314" max="2560" width="9.109375" style="149"/>
    <col min="2561" max="2561" width="45.6640625" style="149" customWidth="1"/>
    <col min="2562" max="2563" width="14.33203125" style="149" customWidth="1"/>
    <col min="2564" max="2564" width="13.6640625" style="149" customWidth="1"/>
    <col min="2565" max="2565" width="13.5546875" style="149" customWidth="1"/>
    <col min="2566" max="2566" width="13.88671875" style="149" customWidth="1"/>
    <col min="2567" max="2567" width="18.6640625" style="149" customWidth="1"/>
    <col min="2568" max="2568" width="12.6640625" style="149" customWidth="1"/>
    <col min="2569" max="2569" width="13.33203125" style="149" customWidth="1"/>
    <col min="2570" max="2816" width="9.109375" style="149"/>
    <col min="2817" max="2817" width="45.6640625" style="149" customWidth="1"/>
    <col min="2818" max="2819" width="14.33203125" style="149" customWidth="1"/>
    <col min="2820" max="2820" width="13.6640625" style="149" customWidth="1"/>
    <col min="2821" max="2821" width="13.5546875" style="149" customWidth="1"/>
    <col min="2822" max="2822" width="13.88671875" style="149" customWidth="1"/>
    <col min="2823" max="2823" width="18.6640625" style="149" customWidth="1"/>
    <col min="2824" max="2824" width="12.6640625" style="149" customWidth="1"/>
    <col min="2825" max="2825" width="13.33203125" style="149" customWidth="1"/>
    <col min="2826" max="3072" width="9.109375" style="149"/>
    <col min="3073" max="3073" width="45.6640625" style="149" customWidth="1"/>
    <col min="3074" max="3075" width="14.33203125" style="149" customWidth="1"/>
    <col min="3076" max="3076" width="13.6640625" style="149" customWidth="1"/>
    <col min="3077" max="3077" width="13.5546875" style="149" customWidth="1"/>
    <col min="3078" max="3078" width="13.88671875" style="149" customWidth="1"/>
    <col min="3079" max="3079" width="18.6640625" style="149" customWidth="1"/>
    <col min="3080" max="3080" width="12.6640625" style="149" customWidth="1"/>
    <col min="3081" max="3081" width="13.33203125" style="149" customWidth="1"/>
    <col min="3082" max="3328" width="9.109375" style="149"/>
    <col min="3329" max="3329" width="45.6640625" style="149" customWidth="1"/>
    <col min="3330" max="3331" width="14.33203125" style="149" customWidth="1"/>
    <col min="3332" max="3332" width="13.6640625" style="149" customWidth="1"/>
    <col min="3333" max="3333" width="13.5546875" style="149" customWidth="1"/>
    <col min="3334" max="3334" width="13.88671875" style="149" customWidth="1"/>
    <col min="3335" max="3335" width="18.6640625" style="149" customWidth="1"/>
    <col min="3336" max="3336" width="12.6640625" style="149" customWidth="1"/>
    <col min="3337" max="3337" width="13.33203125" style="149" customWidth="1"/>
    <col min="3338" max="3584" width="9.109375" style="149"/>
    <col min="3585" max="3585" width="45.6640625" style="149" customWidth="1"/>
    <col min="3586" max="3587" width="14.33203125" style="149" customWidth="1"/>
    <col min="3588" max="3588" width="13.6640625" style="149" customWidth="1"/>
    <col min="3589" max="3589" width="13.5546875" style="149" customWidth="1"/>
    <col min="3590" max="3590" width="13.88671875" style="149" customWidth="1"/>
    <col min="3591" max="3591" width="18.6640625" style="149" customWidth="1"/>
    <col min="3592" max="3592" width="12.6640625" style="149" customWidth="1"/>
    <col min="3593" max="3593" width="13.33203125" style="149" customWidth="1"/>
    <col min="3594" max="3840" width="9.109375" style="149"/>
    <col min="3841" max="3841" width="45.6640625" style="149" customWidth="1"/>
    <col min="3842" max="3843" width="14.33203125" style="149" customWidth="1"/>
    <col min="3844" max="3844" width="13.6640625" style="149" customWidth="1"/>
    <col min="3845" max="3845" width="13.5546875" style="149" customWidth="1"/>
    <col min="3846" max="3846" width="13.88671875" style="149" customWidth="1"/>
    <col min="3847" max="3847" width="18.6640625" style="149" customWidth="1"/>
    <col min="3848" max="3848" width="12.6640625" style="149" customWidth="1"/>
    <col min="3849" max="3849" width="13.33203125" style="149" customWidth="1"/>
    <col min="3850" max="4096" width="9.109375" style="149"/>
    <col min="4097" max="4097" width="45.6640625" style="149" customWidth="1"/>
    <col min="4098" max="4099" width="14.33203125" style="149" customWidth="1"/>
    <col min="4100" max="4100" width="13.6640625" style="149" customWidth="1"/>
    <col min="4101" max="4101" width="13.5546875" style="149" customWidth="1"/>
    <col min="4102" max="4102" width="13.88671875" style="149" customWidth="1"/>
    <col min="4103" max="4103" width="18.6640625" style="149" customWidth="1"/>
    <col min="4104" max="4104" width="12.6640625" style="149" customWidth="1"/>
    <col min="4105" max="4105" width="13.33203125" style="149" customWidth="1"/>
    <col min="4106" max="4352" width="9.109375" style="149"/>
    <col min="4353" max="4353" width="45.6640625" style="149" customWidth="1"/>
    <col min="4354" max="4355" width="14.33203125" style="149" customWidth="1"/>
    <col min="4356" max="4356" width="13.6640625" style="149" customWidth="1"/>
    <col min="4357" max="4357" width="13.5546875" style="149" customWidth="1"/>
    <col min="4358" max="4358" width="13.88671875" style="149" customWidth="1"/>
    <col min="4359" max="4359" width="18.6640625" style="149" customWidth="1"/>
    <col min="4360" max="4360" width="12.6640625" style="149" customWidth="1"/>
    <col min="4361" max="4361" width="13.33203125" style="149" customWidth="1"/>
    <col min="4362" max="4608" width="9.109375" style="149"/>
    <col min="4609" max="4609" width="45.6640625" style="149" customWidth="1"/>
    <col min="4610" max="4611" width="14.33203125" style="149" customWidth="1"/>
    <col min="4612" max="4612" width="13.6640625" style="149" customWidth="1"/>
    <col min="4613" max="4613" width="13.5546875" style="149" customWidth="1"/>
    <col min="4614" max="4614" width="13.88671875" style="149" customWidth="1"/>
    <col min="4615" max="4615" width="18.6640625" style="149" customWidth="1"/>
    <col min="4616" max="4616" width="12.6640625" style="149" customWidth="1"/>
    <col min="4617" max="4617" width="13.33203125" style="149" customWidth="1"/>
    <col min="4618" max="4864" width="9.109375" style="149"/>
    <col min="4865" max="4865" width="45.6640625" style="149" customWidth="1"/>
    <col min="4866" max="4867" width="14.33203125" style="149" customWidth="1"/>
    <col min="4868" max="4868" width="13.6640625" style="149" customWidth="1"/>
    <col min="4869" max="4869" width="13.5546875" style="149" customWidth="1"/>
    <col min="4870" max="4870" width="13.88671875" style="149" customWidth="1"/>
    <col min="4871" max="4871" width="18.6640625" style="149" customWidth="1"/>
    <col min="4872" max="4872" width="12.6640625" style="149" customWidth="1"/>
    <col min="4873" max="4873" width="13.33203125" style="149" customWidth="1"/>
    <col min="4874" max="5120" width="9.109375" style="149"/>
    <col min="5121" max="5121" width="45.6640625" style="149" customWidth="1"/>
    <col min="5122" max="5123" width="14.33203125" style="149" customWidth="1"/>
    <col min="5124" max="5124" width="13.6640625" style="149" customWidth="1"/>
    <col min="5125" max="5125" width="13.5546875" style="149" customWidth="1"/>
    <col min="5126" max="5126" width="13.88671875" style="149" customWidth="1"/>
    <col min="5127" max="5127" width="18.6640625" style="149" customWidth="1"/>
    <col min="5128" max="5128" width="12.6640625" style="149" customWidth="1"/>
    <col min="5129" max="5129" width="13.33203125" style="149" customWidth="1"/>
    <col min="5130" max="5376" width="9.109375" style="149"/>
    <col min="5377" max="5377" width="45.6640625" style="149" customWidth="1"/>
    <col min="5378" max="5379" width="14.33203125" style="149" customWidth="1"/>
    <col min="5380" max="5380" width="13.6640625" style="149" customWidth="1"/>
    <col min="5381" max="5381" width="13.5546875" style="149" customWidth="1"/>
    <col min="5382" max="5382" width="13.88671875" style="149" customWidth="1"/>
    <col min="5383" max="5383" width="18.6640625" style="149" customWidth="1"/>
    <col min="5384" max="5384" width="12.6640625" style="149" customWidth="1"/>
    <col min="5385" max="5385" width="13.33203125" style="149" customWidth="1"/>
    <col min="5386" max="5632" width="9.109375" style="149"/>
    <col min="5633" max="5633" width="45.6640625" style="149" customWidth="1"/>
    <col min="5634" max="5635" width="14.33203125" style="149" customWidth="1"/>
    <col min="5636" max="5636" width="13.6640625" style="149" customWidth="1"/>
    <col min="5637" max="5637" width="13.5546875" style="149" customWidth="1"/>
    <col min="5638" max="5638" width="13.88671875" style="149" customWidth="1"/>
    <col min="5639" max="5639" width="18.6640625" style="149" customWidth="1"/>
    <col min="5640" max="5640" width="12.6640625" style="149" customWidth="1"/>
    <col min="5641" max="5641" width="13.33203125" style="149" customWidth="1"/>
    <col min="5642" max="5888" width="9.109375" style="149"/>
    <col min="5889" max="5889" width="45.6640625" style="149" customWidth="1"/>
    <col min="5890" max="5891" width="14.33203125" style="149" customWidth="1"/>
    <col min="5892" max="5892" width="13.6640625" style="149" customWidth="1"/>
    <col min="5893" max="5893" width="13.5546875" style="149" customWidth="1"/>
    <col min="5894" max="5894" width="13.88671875" style="149" customWidth="1"/>
    <col min="5895" max="5895" width="18.6640625" style="149" customWidth="1"/>
    <col min="5896" max="5896" width="12.6640625" style="149" customWidth="1"/>
    <col min="5897" max="5897" width="13.33203125" style="149" customWidth="1"/>
    <col min="5898" max="6144" width="9.109375" style="149"/>
    <col min="6145" max="6145" width="45.6640625" style="149" customWidth="1"/>
    <col min="6146" max="6147" width="14.33203125" style="149" customWidth="1"/>
    <col min="6148" max="6148" width="13.6640625" style="149" customWidth="1"/>
    <col min="6149" max="6149" width="13.5546875" style="149" customWidth="1"/>
    <col min="6150" max="6150" width="13.88671875" style="149" customWidth="1"/>
    <col min="6151" max="6151" width="18.6640625" style="149" customWidth="1"/>
    <col min="6152" max="6152" width="12.6640625" style="149" customWidth="1"/>
    <col min="6153" max="6153" width="13.33203125" style="149" customWidth="1"/>
    <col min="6154" max="6400" width="9.109375" style="149"/>
    <col min="6401" max="6401" width="45.6640625" style="149" customWidth="1"/>
    <col min="6402" max="6403" width="14.33203125" style="149" customWidth="1"/>
    <col min="6404" max="6404" width="13.6640625" style="149" customWidth="1"/>
    <col min="6405" max="6405" width="13.5546875" style="149" customWidth="1"/>
    <col min="6406" max="6406" width="13.88671875" style="149" customWidth="1"/>
    <col min="6407" max="6407" width="18.6640625" style="149" customWidth="1"/>
    <col min="6408" max="6408" width="12.6640625" style="149" customWidth="1"/>
    <col min="6409" max="6409" width="13.33203125" style="149" customWidth="1"/>
    <col min="6410" max="6656" width="9.109375" style="149"/>
    <col min="6657" max="6657" width="45.6640625" style="149" customWidth="1"/>
    <col min="6658" max="6659" width="14.33203125" style="149" customWidth="1"/>
    <col min="6660" max="6660" width="13.6640625" style="149" customWidth="1"/>
    <col min="6661" max="6661" width="13.5546875" style="149" customWidth="1"/>
    <col min="6662" max="6662" width="13.88671875" style="149" customWidth="1"/>
    <col min="6663" max="6663" width="18.6640625" style="149" customWidth="1"/>
    <col min="6664" max="6664" width="12.6640625" style="149" customWidth="1"/>
    <col min="6665" max="6665" width="13.33203125" style="149" customWidth="1"/>
    <col min="6666" max="6912" width="9.109375" style="149"/>
    <col min="6913" max="6913" width="45.6640625" style="149" customWidth="1"/>
    <col min="6914" max="6915" width="14.33203125" style="149" customWidth="1"/>
    <col min="6916" max="6916" width="13.6640625" style="149" customWidth="1"/>
    <col min="6917" max="6917" width="13.5546875" style="149" customWidth="1"/>
    <col min="6918" max="6918" width="13.88671875" style="149" customWidth="1"/>
    <col min="6919" max="6919" width="18.6640625" style="149" customWidth="1"/>
    <col min="6920" max="6920" width="12.6640625" style="149" customWidth="1"/>
    <col min="6921" max="6921" width="13.33203125" style="149" customWidth="1"/>
    <col min="6922" max="7168" width="9.109375" style="149"/>
    <col min="7169" max="7169" width="45.6640625" style="149" customWidth="1"/>
    <col min="7170" max="7171" width="14.33203125" style="149" customWidth="1"/>
    <col min="7172" max="7172" width="13.6640625" style="149" customWidth="1"/>
    <col min="7173" max="7173" width="13.5546875" style="149" customWidth="1"/>
    <col min="7174" max="7174" width="13.88671875" style="149" customWidth="1"/>
    <col min="7175" max="7175" width="18.6640625" style="149" customWidth="1"/>
    <col min="7176" max="7176" width="12.6640625" style="149" customWidth="1"/>
    <col min="7177" max="7177" width="13.33203125" style="149" customWidth="1"/>
    <col min="7178" max="7424" width="9.109375" style="149"/>
    <col min="7425" max="7425" width="45.6640625" style="149" customWidth="1"/>
    <col min="7426" max="7427" width="14.33203125" style="149" customWidth="1"/>
    <col min="7428" max="7428" width="13.6640625" style="149" customWidth="1"/>
    <col min="7429" max="7429" width="13.5546875" style="149" customWidth="1"/>
    <col min="7430" max="7430" width="13.88671875" style="149" customWidth="1"/>
    <col min="7431" max="7431" width="18.6640625" style="149" customWidth="1"/>
    <col min="7432" max="7432" width="12.6640625" style="149" customWidth="1"/>
    <col min="7433" max="7433" width="13.33203125" style="149" customWidth="1"/>
    <col min="7434" max="7680" width="9.109375" style="149"/>
    <col min="7681" max="7681" width="45.6640625" style="149" customWidth="1"/>
    <col min="7682" max="7683" width="14.33203125" style="149" customWidth="1"/>
    <col min="7684" max="7684" width="13.6640625" style="149" customWidth="1"/>
    <col min="7685" max="7685" width="13.5546875" style="149" customWidth="1"/>
    <col min="7686" max="7686" width="13.88671875" style="149" customWidth="1"/>
    <col min="7687" max="7687" width="18.6640625" style="149" customWidth="1"/>
    <col min="7688" max="7688" width="12.6640625" style="149" customWidth="1"/>
    <col min="7689" max="7689" width="13.33203125" style="149" customWidth="1"/>
    <col min="7690" max="7936" width="9.109375" style="149"/>
    <col min="7937" max="7937" width="45.6640625" style="149" customWidth="1"/>
    <col min="7938" max="7939" width="14.33203125" style="149" customWidth="1"/>
    <col min="7940" max="7940" width="13.6640625" style="149" customWidth="1"/>
    <col min="7941" max="7941" width="13.5546875" style="149" customWidth="1"/>
    <col min="7942" max="7942" width="13.88671875" style="149" customWidth="1"/>
    <col min="7943" max="7943" width="18.6640625" style="149" customWidth="1"/>
    <col min="7944" max="7944" width="12.6640625" style="149" customWidth="1"/>
    <col min="7945" max="7945" width="13.33203125" style="149" customWidth="1"/>
    <col min="7946" max="8192" width="9.109375" style="149"/>
    <col min="8193" max="8193" width="45.6640625" style="149" customWidth="1"/>
    <col min="8194" max="8195" width="14.33203125" style="149" customWidth="1"/>
    <col min="8196" max="8196" width="13.6640625" style="149" customWidth="1"/>
    <col min="8197" max="8197" width="13.5546875" style="149" customWidth="1"/>
    <col min="8198" max="8198" width="13.88671875" style="149" customWidth="1"/>
    <col min="8199" max="8199" width="18.6640625" style="149" customWidth="1"/>
    <col min="8200" max="8200" width="12.6640625" style="149" customWidth="1"/>
    <col min="8201" max="8201" width="13.33203125" style="149" customWidth="1"/>
    <col min="8202" max="8448" width="9.109375" style="149"/>
    <col min="8449" max="8449" width="45.6640625" style="149" customWidth="1"/>
    <col min="8450" max="8451" width="14.33203125" style="149" customWidth="1"/>
    <col min="8452" max="8452" width="13.6640625" style="149" customWidth="1"/>
    <col min="8453" max="8453" width="13.5546875" style="149" customWidth="1"/>
    <col min="8454" max="8454" width="13.88671875" style="149" customWidth="1"/>
    <col min="8455" max="8455" width="18.6640625" style="149" customWidth="1"/>
    <col min="8456" max="8456" width="12.6640625" style="149" customWidth="1"/>
    <col min="8457" max="8457" width="13.33203125" style="149" customWidth="1"/>
    <col min="8458" max="8704" width="9.109375" style="149"/>
    <col min="8705" max="8705" width="45.6640625" style="149" customWidth="1"/>
    <col min="8706" max="8707" width="14.33203125" style="149" customWidth="1"/>
    <col min="8708" max="8708" width="13.6640625" style="149" customWidth="1"/>
    <col min="8709" max="8709" width="13.5546875" style="149" customWidth="1"/>
    <col min="8710" max="8710" width="13.88671875" style="149" customWidth="1"/>
    <col min="8711" max="8711" width="18.6640625" style="149" customWidth="1"/>
    <col min="8712" max="8712" width="12.6640625" style="149" customWidth="1"/>
    <col min="8713" max="8713" width="13.33203125" style="149" customWidth="1"/>
    <col min="8714" max="8960" width="9.109375" style="149"/>
    <col min="8961" max="8961" width="45.6640625" style="149" customWidth="1"/>
    <col min="8962" max="8963" width="14.33203125" style="149" customWidth="1"/>
    <col min="8964" max="8964" width="13.6640625" style="149" customWidth="1"/>
    <col min="8965" max="8965" width="13.5546875" style="149" customWidth="1"/>
    <col min="8966" max="8966" width="13.88671875" style="149" customWidth="1"/>
    <col min="8967" max="8967" width="18.6640625" style="149" customWidth="1"/>
    <col min="8968" max="8968" width="12.6640625" style="149" customWidth="1"/>
    <col min="8969" max="8969" width="13.33203125" style="149" customWidth="1"/>
    <col min="8970" max="9216" width="9.109375" style="149"/>
    <col min="9217" max="9217" width="45.6640625" style="149" customWidth="1"/>
    <col min="9218" max="9219" width="14.33203125" style="149" customWidth="1"/>
    <col min="9220" max="9220" width="13.6640625" style="149" customWidth="1"/>
    <col min="9221" max="9221" width="13.5546875" style="149" customWidth="1"/>
    <col min="9222" max="9222" width="13.88671875" style="149" customWidth="1"/>
    <col min="9223" max="9223" width="18.6640625" style="149" customWidth="1"/>
    <col min="9224" max="9224" width="12.6640625" style="149" customWidth="1"/>
    <col min="9225" max="9225" width="13.33203125" style="149" customWidth="1"/>
    <col min="9226" max="9472" width="9.109375" style="149"/>
    <col min="9473" max="9473" width="45.6640625" style="149" customWidth="1"/>
    <col min="9474" max="9475" width="14.33203125" style="149" customWidth="1"/>
    <col min="9476" max="9476" width="13.6640625" style="149" customWidth="1"/>
    <col min="9477" max="9477" width="13.5546875" style="149" customWidth="1"/>
    <col min="9478" max="9478" width="13.88671875" style="149" customWidth="1"/>
    <col min="9479" max="9479" width="18.6640625" style="149" customWidth="1"/>
    <col min="9480" max="9480" width="12.6640625" style="149" customWidth="1"/>
    <col min="9481" max="9481" width="13.33203125" style="149" customWidth="1"/>
    <col min="9482" max="9728" width="9.109375" style="149"/>
    <col min="9729" max="9729" width="45.6640625" style="149" customWidth="1"/>
    <col min="9730" max="9731" width="14.33203125" style="149" customWidth="1"/>
    <col min="9732" max="9732" width="13.6640625" style="149" customWidth="1"/>
    <col min="9733" max="9733" width="13.5546875" style="149" customWidth="1"/>
    <col min="9734" max="9734" width="13.88671875" style="149" customWidth="1"/>
    <col min="9735" max="9735" width="18.6640625" style="149" customWidth="1"/>
    <col min="9736" max="9736" width="12.6640625" style="149" customWidth="1"/>
    <col min="9737" max="9737" width="13.33203125" style="149" customWidth="1"/>
    <col min="9738" max="9984" width="9.109375" style="149"/>
    <col min="9985" max="9985" width="45.6640625" style="149" customWidth="1"/>
    <col min="9986" max="9987" width="14.33203125" style="149" customWidth="1"/>
    <col min="9988" max="9988" width="13.6640625" style="149" customWidth="1"/>
    <col min="9989" max="9989" width="13.5546875" style="149" customWidth="1"/>
    <col min="9990" max="9990" width="13.88671875" style="149" customWidth="1"/>
    <col min="9991" max="9991" width="18.6640625" style="149" customWidth="1"/>
    <col min="9992" max="9992" width="12.6640625" style="149" customWidth="1"/>
    <col min="9993" max="9993" width="13.33203125" style="149" customWidth="1"/>
    <col min="9994" max="10240" width="9.109375" style="149"/>
    <col min="10241" max="10241" width="45.6640625" style="149" customWidth="1"/>
    <col min="10242" max="10243" width="14.33203125" style="149" customWidth="1"/>
    <col min="10244" max="10244" width="13.6640625" style="149" customWidth="1"/>
    <col min="10245" max="10245" width="13.5546875" style="149" customWidth="1"/>
    <col min="10246" max="10246" width="13.88671875" style="149" customWidth="1"/>
    <col min="10247" max="10247" width="18.6640625" style="149" customWidth="1"/>
    <col min="10248" max="10248" width="12.6640625" style="149" customWidth="1"/>
    <col min="10249" max="10249" width="13.33203125" style="149" customWidth="1"/>
    <col min="10250" max="10496" width="9.109375" style="149"/>
    <col min="10497" max="10497" width="45.6640625" style="149" customWidth="1"/>
    <col min="10498" max="10499" width="14.33203125" style="149" customWidth="1"/>
    <col min="10500" max="10500" width="13.6640625" style="149" customWidth="1"/>
    <col min="10501" max="10501" width="13.5546875" style="149" customWidth="1"/>
    <col min="10502" max="10502" width="13.88671875" style="149" customWidth="1"/>
    <col min="10503" max="10503" width="18.6640625" style="149" customWidth="1"/>
    <col min="10504" max="10504" width="12.6640625" style="149" customWidth="1"/>
    <col min="10505" max="10505" width="13.33203125" style="149" customWidth="1"/>
    <col min="10506" max="10752" width="9.109375" style="149"/>
    <col min="10753" max="10753" width="45.6640625" style="149" customWidth="1"/>
    <col min="10754" max="10755" width="14.33203125" style="149" customWidth="1"/>
    <col min="10756" max="10756" width="13.6640625" style="149" customWidth="1"/>
    <col min="10757" max="10757" width="13.5546875" style="149" customWidth="1"/>
    <col min="10758" max="10758" width="13.88671875" style="149" customWidth="1"/>
    <col min="10759" max="10759" width="18.6640625" style="149" customWidth="1"/>
    <col min="10760" max="10760" width="12.6640625" style="149" customWidth="1"/>
    <col min="10761" max="10761" width="13.33203125" style="149" customWidth="1"/>
    <col min="10762" max="11008" width="9.109375" style="149"/>
    <col min="11009" max="11009" width="45.6640625" style="149" customWidth="1"/>
    <col min="11010" max="11011" width="14.33203125" style="149" customWidth="1"/>
    <col min="11012" max="11012" width="13.6640625" style="149" customWidth="1"/>
    <col min="11013" max="11013" width="13.5546875" style="149" customWidth="1"/>
    <col min="11014" max="11014" width="13.88671875" style="149" customWidth="1"/>
    <col min="11015" max="11015" width="18.6640625" style="149" customWidth="1"/>
    <col min="11016" max="11016" width="12.6640625" style="149" customWidth="1"/>
    <col min="11017" max="11017" width="13.33203125" style="149" customWidth="1"/>
    <col min="11018" max="11264" width="9.109375" style="149"/>
    <col min="11265" max="11265" width="45.6640625" style="149" customWidth="1"/>
    <col min="11266" max="11267" width="14.33203125" style="149" customWidth="1"/>
    <col min="11268" max="11268" width="13.6640625" style="149" customWidth="1"/>
    <col min="11269" max="11269" width="13.5546875" style="149" customWidth="1"/>
    <col min="11270" max="11270" width="13.88671875" style="149" customWidth="1"/>
    <col min="11271" max="11271" width="18.6640625" style="149" customWidth="1"/>
    <col min="11272" max="11272" width="12.6640625" style="149" customWidth="1"/>
    <col min="11273" max="11273" width="13.33203125" style="149" customWidth="1"/>
    <col min="11274" max="11520" width="9.109375" style="149"/>
    <col min="11521" max="11521" width="45.6640625" style="149" customWidth="1"/>
    <col min="11522" max="11523" width="14.33203125" style="149" customWidth="1"/>
    <col min="11524" max="11524" width="13.6640625" style="149" customWidth="1"/>
    <col min="11525" max="11525" width="13.5546875" style="149" customWidth="1"/>
    <col min="11526" max="11526" width="13.88671875" style="149" customWidth="1"/>
    <col min="11527" max="11527" width="18.6640625" style="149" customWidth="1"/>
    <col min="11528" max="11528" width="12.6640625" style="149" customWidth="1"/>
    <col min="11529" max="11529" width="13.33203125" style="149" customWidth="1"/>
    <col min="11530" max="11776" width="9.109375" style="149"/>
    <col min="11777" max="11777" width="45.6640625" style="149" customWidth="1"/>
    <col min="11778" max="11779" width="14.33203125" style="149" customWidth="1"/>
    <col min="11780" max="11780" width="13.6640625" style="149" customWidth="1"/>
    <col min="11781" max="11781" width="13.5546875" style="149" customWidth="1"/>
    <col min="11782" max="11782" width="13.88671875" style="149" customWidth="1"/>
    <col min="11783" max="11783" width="18.6640625" style="149" customWidth="1"/>
    <col min="11784" max="11784" width="12.6640625" style="149" customWidth="1"/>
    <col min="11785" max="11785" width="13.33203125" style="149" customWidth="1"/>
    <col min="11786" max="12032" width="9.109375" style="149"/>
    <col min="12033" max="12033" width="45.6640625" style="149" customWidth="1"/>
    <col min="12034" max="12035" width="14.33203125" style="149" customWidth="1"/>
    <col min="12036" max="12036" width="13.6640625" style="149" customWidth="1"/>
    <col min="12037" max="12037" width="13.5546875" style="149" customWidth="1"/>
    <col min="12038" max="12038" width="13.88671875" style="149" customWidth="1"/>
    <col min="12039" max="12039" width="18.6640625" style="149" customWidth="1"/>
    <col min="12040" max="12040" width="12.6640625" style="149" customWidth="1"/>
    <col min="12041" max="12041" width="13.33203125" style="149" customWidth="1"/>
    <col min="12042" max="12288" width="9.109375" style="149"/>
    <col min="12289" max="12289" width="45.6640625" style="149" customWidth="1"/>
    <col min="12290" max="12291" width="14.33203125" style="149" customWidth="1"/>
    <col min="12292" max="12292" width="13.6640625" style="149" customWidth="1"/>
    <col min="12293" max="12293" width="13.5546875" style="149" customWidth="1"/>
    <col min="12294" max="12294" width="13.88671875" style="149" customWidth="1"/>
    <col min="12295" max="12295" width="18.6640625" style="149" customWidth="1"/>
    <col min="12296" max="12296" width="12.6640625" style="149" customWidth="1"/>
    <col min="12297" max="12297" width="13.33203125" style="149" customWidth="1"/>
    <col min="12298" max="12544" width="9.109375" style="149"/>
    <col min="12545" max="12545" width="45.6640625" style="149" customWidth="1"/>
    <col min="12546" max="12547" width="14.33203125" style="149" customWidth="1"/>
    <col min="12548" max="12548" width="13.6640625" style="149" customWidth="1"/>
    <col min="12549" max="12549" width="13.5546875" style="149" customWidth="1"/>
    <col min="12550" max="12550" width="13.88671875" style="149" customWidth="1"/>
    <col min="12551" max="12551" width="18.6640625" style="149" customWidth="1"/>
    <col min="12552" max="12552" width="12.6640625" style="149" customWidth="1"/>
    <col min="12553" max="12553" width="13.33203125" style="149" customWidth="1"/>
    <col min="12554" max="12800" width="9.109375" style="149"/>
    <col min="12801" max="12801" width="45.6640625" style="149" customWidth="1"/>
    <col min="12802" max="12803" width="14.33203125" style="149" customWidth="1"/>
    <col min="12804" max="12804" width="13.6640625" style="149" customWidth="1"/>
    <col min="12805" max="12805" width="13.5546875" style="149" customWidth="1"/>
    <col min="12806" max="12806" width="13.88671875" style="149" customWidth="1"/>
    <col min="12807" max="12807" width="18.6640625" style="149" customWidth="1"/>
    <col min="12808" max="12808" width="12.6640625" style="149" customWidth="1"/>
    <col min="12809" max="12809" width="13.33203125" style="149" customWidth="1"/>
    <col min="12810" max="13056" width="9.109375" style="149"/>
    <col min="13057" max="13057" width="45.6640625" style="149" customWidth="1"/>
    <col min="13058" max="13059" width="14.33203125" style="149" customWidth="1"/>
    <col min="13060" max="13060" width="13.6640625" style="149" customWidth="1"/>
    <col min="13061" max="13061" width="13.5546875" style="149" customWidth="1"/>
    <col min="13062" max="13062" width="13.88671875" style="149" customWidth="1"/>
    <col min="13063" max="13063" width="18.6640625" style="149" customWidth="1"/>
    <col min="13064" max="13064" width="12.6640625" style="149" customWidth="1"/>
    <col min="13065" max="13065" width="13.33203125" style="149" customWidth="1"/>
    <col min="13066" max="13312" width="9.109375" style="149"/>
    <col min="13313" max="13313" width="45.6640625" style="149" customWidth="1"/>
    <col min="13314" max="13315" width="14.33203125" style="149" customWidth="1"/>
    <col min="13316" max="13316" width="13.6640625" style="149" customWidth="1"/>
    <col min="13317" max="13317" width="13.5546875" style="149" customWidth="1"/>
    <col min="13318" max="13318" width="13.88671875" style="149" customWidth="1"/>
    <col min="13319" max="13319" width="18.6640625" style="149" customWidth="1"/>
    <col min="13320" max="13320" width="12.6640625" style="149" customWidth="1"/>
    <col min="13321" max="13321" width="13.33203125" style="149" customWidth="1"/>
    <col min="13322" max="13568" width="9.109375" style="149"/>
    <col min="13569" max="13569" width="45.6640625" style="149" customWidth="1"/>
    <col min="13570" max="13571" width="14.33203125" style="149" customWidth="1"/>
    <col min="13572" max="13572" width="13.6640625" style="149" customWidth="1"/>
    <col min="13573" max="13573" width="13.5546875" style="149" customWidth="1"/>
    <col min="13574" max="13574" width="13.88671875" style="149" customWidth="1"/>
    <col min="13575" max="13575" width="18.6640625" style="149" customWidth="1"/>
    <col min="13576" max="13576" width="12.6640625" style="149" customWidth="1"/>
    <col min="13577" max="13577" width="13.33203125" style="149" customWidth="1"/>
    <col min="13578" max="13824" width="9.109375" style="149"/>
    <col min="13825" max="13825" width="45.6640625" style="149" customWidth="1"/>
    <col min="13826" max="13827" width="14.33203125" style="149" customWidth="1"/>
    <col min="13828" max="13828" width="13.6640625" style="149" customWidth="1"/>
    <col min="13829" max="13829" width="13.5546875" style="149" customWidth="1"/>
    <col min="13830" max="13830" width="13.88671875" style="149" customWidth="1"/>
    <col min="13831" max="13831" width="18.6640625" style="149" customWidth="1"/>
    <col min="13832" max="13832" width="12.6640625" style="149" customWidth="1"/>
    <col min="13833" max="13833" width="13.33203125" style="149" customWidth="1"/>
    <col min="13834" max="14080" width="9.109375" style="149"/>
    <col min="14081" max="14081" width="45.6640625" style="149" customWidth="1"/>
    <col min="14082" max="14083" width="14.33203125" style="149" customWidth="1"/>
    <col min="14084" max="14084" width="13.6640625" style="149" customWidth="1"/>
    <col min="14085" max="14085" width="13.5546875" style="149" customWidth="1"/>
    <col min="14086" max="14086" width="13.88671875" style="149" customWidth="1"/>
    <col min="14087" max="14087" width="18.6640625" style="149" customWidth="1"/>
    <col min="14088" max="14088" width="12.6640625" style="149" customWidth="1"/>
    <col min="14089" max="14089" width="13.33203125" style="149" customWidth="1"/>
    <col min="14090" max="14336" width="9.109375" style="149"/>
    <col min="14337" max="14337" width="45.6640625" style="149" customWidth="1"/>
    <col min="14338" max="14339" width="14.33203125" style="149" customWidth="1"/>
    <col min="14340" max="14340" width="13.6640625" style="149" customWidth="1"/>
    <col min="14341" max="14341" width="13.5546875" style="149" customWidth="1"/>
    <col min="14342" max="14342" width="13.88671875" style="149" customWidth="1"/>
    <col min="14343" max="14343" width="18.6640625" style="149" customWidth="1"/>
    <col min="14344" max="14344" width="12.6640625" style="149" customWidth="1"/>
    <col min="14345" max="14345" width="13.33203125" style="149" customWidth="1"/>
    <col min="14346" max="14592" width="9.109375" style="149"/>
    <col min="14593" max="14593" width="45.6640625" style="149" customWidth="1"/>
    <col min="14594" max="14595" width="14.33203125" style="149" customWidth="1"/>
    <col min="14596" max="14596" width="13.6640625" style="149" customWidth="1"/>
    <col min="14597" max="14597" width="13.5546875" style="149" customWidth="1"/>
    <col min="14598" max="14598" width="13.88671875" style="149" customWidth="1"/>
    <col min="14599" max="14599" width="18.6640625" style="149" customWidth="1"/>
    <col min="14600" max="14600" width="12.6640625" style="149" customWidth="1"/>
    <col min="14601" max="14601" width="13.33203125" style="149" customWidth="1"/>
    <col min="14602" max="14848" width="9.109375" style="149"/>
    <col min="14849" max="14849" width="45.6640625" style="149" customWidth="1"/>
    <col min="14850" max="14851" width="14.33203125" style="149" customWidth="1"/>
    <col min="14852" max="14852" width="13.6640625" style="149" customWidth="1"/>
    <col min="14853" max="14853" width="13.5546875" style="149" customWidth="1"/>
    <col min="14854" max="14854" width="13.88671875" style="149" customWidth="1"/>
    <col min="14855" max="14855" width="18.6640625" style="149" customWidth="1"/>
    <col min="14856" max="14856" width="12.6640625" style="149" customWidth="1"/>
    <col min="14857" max="14857" width="13.33203125" style="149" customWidth="1"/>
    <col min="14858" max="15104" width="9.109375" style="149"/>
    <col min="15105" max="15105" width="45.6640625" style="149" customWidth="1"/>
    <col min="15106" max="15107" width="14.33203125" style="149" customWidth="1"/>
    <col min="15108" max="15108" width="13.6640625" style="149" customWidth="1"/>
    <col min="15109" max="15109" width="13.5546875" style="149" customWidth="1"/>
    <col min="15110" max="15110" width="13.88671875" style="149" customWidth="1"/>
    <col min="15111" max="15111" width="18.6640625" style="149" customWidth="1"/>
    <col min="15112" max="15112" width="12.6640625" style="149" customWidth="1"/>
    <col min="15113" max="15113" width="13.33203125" style="149" customWidth="1"/>
    <col min="15114" max="15360" width="9.109375" style="149"/>
    <col min="15361" max="15361" width="45.6640625" style="149" customWidth="1"/>
    <col min="15362" max="15363" width="14.33203125" style="149" customWidth="1"/>
    <col min="15364" max="15364" width="13.6640625" style="149" customWidth="1"/>
    <col min="15365" max="15365" width="13.5546875" style="149" customWidth="1"/>
    <col min="15366" max="15366" width="13.88671875" style="149" customWidth="1"/>
    <col min="15367" max="15367" width="18.6640625" style="149" customWidth="1"/>
    <col min="15368" max="15368" width="12.6640625" style="149" customWidth="1"/>
    <col min="15369" max="15369" width="13.33203125" style="149" customWidth="1"/>
    <col min="15370" max="15616" width="9.109375" style="149"/>
    <col min="15617" max="15617" width="45.6640625" style="149" customWidth="1"/>
    <col min="15618" max="15619" width="14.33203125" style="149" customWidth="1"/>
    <col min="15620" max="15620" width="13.6640625" style="149" customWidth="1"/>
    <col min="15621" max="15621" width="13.5546875" style="149" customWidth="1"/>
    <col min="15622" max="15622" width="13.88671875" style="149" customWidth="1"/>
    <col min="15623" max="15623" width="18.6640625" style="149" customWidth="1"/>
    <col min="15624" max="15624" width="12.6640625" style="149" customWidth="1"/>
    <col min="15625" max="15625" width="13.33203125" style="149" customWidth="1"/>
    <col min="15626" max="15872" width="9.109375" style="149"/>
    <col min="15873" max="15873" width="45.6640625" style="149" customWidth="1"/>
    <col min="15874" max="15875" width="14.33203125" style="149" customWidth="1"/>
    <col min="15876" max="15876" width="13.6640625" style="149" customWidth="1"/>
    <col min="15877" max="15877" width="13.5546875" style="149" customWidth="1"/>
    <col min="15878" max="15878" width="13.88671875" style="149" customWidth="1"/>
    <col min="15879" max="15879" width="18.6640625" style="149" customWidth="1"/>
    <col min="15880" max="15880" width="12.6640625" style="149" customWidth="1"/>
    <col min="15881" max="15881" width="13.33203125" style="149" customWidth="1"/>
    <col min="15882" max="16128" width="9.109375" style="149"/>
    <col min="16129" max="16129" width="45.6640625" style="149" customWidth="1"/>
    <col min="16130" max="16131" width="14.33203125" style="149" customWidth="1"/>
    <col min="16132" max="16132" width="13.6640625" style="149" customWidth="1"/>
    <col min="16133" max="16133" width="13.5546875" style="149" customWidth="1"/>
    <col min="16134" max="16134" width="13.88671875" style="149" customWidth="1"/>
    <col min="16135" max="16135" width="18.6640625" style="149" customWidth="1"/>
    <col min="16136" max="16136" width="12.6640625" style="149" customWidth="1"/>
    <col min="16137" max="16137" width="13.33203125" style="149" customWidth="1"/>
    <col min="16138" max="16384" width="9.109375" style="149"/>
  </cols>
  <sheetData>
    <row r="1" spans="1:9" x14ac:dyDescent="0.2">
      <c r="A1" s="265"/>
    </row>
    <row r="2" spans="1:9" s="56" customFormat="1" ht="13.2" x14ac:dyDescent="0.25">
      <c r="A2" s="534" t="s">
        <v>974</v>
      </c>
      <c r="B2" s="534"/>
      <c r="C2" s="534"/>
      <c r="D2" s="534"/>
      <c r="E2" s="534"/>
      <c r="F2" s="534"/>
    </row>
    <row r="3" spans="1:9" s="56" customFormat="1" x14ac:dyDescent="0.2">
      <c r="B3" s="771"/>
      <c r="C3" s="771"/>
    </row>
    <row r="4" spans="1:9" s="56" customFormat="1" x14ac:dyDescent="0.2">
      <c r="A4" s="564" t="s">
        <v>221</v>
      </c>
      <c r="B4" s="623">
        <v>42735</v>
      </c>
      <c r="C4" s="623">
        <v>42369</v>
      </c>
    </row>
    <row r="5" spans="1:9" s="56" customFormat="1" ht="20.399999999999999" x14ac:dyDescent="0.2">
      <c r="A5" s="71" t="s">
        <v>219</v>
      </c>
      <c r="B5" s="258">
        <v>110075</v>
      </c>
      <c r="C5" s="258">
        <v>110075</v>
      </c>
    </row>
    <row r="6" spans="1:9" s="56" customFormat="1" x14ac:dyDescent="0.2">
      <c r="A6" s="71" t="s">
        <v>220</v>
      </c>
      <c r="B6" s="258"/>
      <c r="C6" s="258"/>
    </row>
    <row r="7" spans="1:9" s="56" customFormat="1" x14ac:dyDescent="0.2">
      <c r="A7" s="146" t="s">
        <v>26</v>
      </c>
      <c r="B7" s="116">
        <f>SUM(B5:B6)</f>
        <v>110075</v>
      </c>
      <c r="C7" s="116">
        <f>SUM(C5:C6)</f>
        <v>110075</v>
      </c>
    </row>
    <row r="8" spans="1:9" s="56" customFormat="1" x14ac:dyDescent="0.2">
      <c r="B8" s="404">
        <f>Aktywa!D9</f>
        <v>110075</v>
      </c>
      <c r="C8" s="404">
        <f>Aktywa!E9</f>
        <v>110075</v>
      </c>
    </row>
    <row r="9" spans="1:9" s="56" customFormat="1" x14ac:dyDescent="0.2"/>
    <row r="10" spans="1:9" s="56" customFormat="1" x14ac:dyDescent="0.2">
      <c r="A10" s="68" t="s">
        <v>893</v>
      </c>
      <c r="B10" s="244"/>
      <c r="C10" s="244"/>
      <c r="D10" s="244"/>
      <c r="E10" s="244"/>
      <c r="F10" s="244"/>
      <c r="G10" s="244"/>
      <c r="H10" s="244"/>
      <c r="I10" s="244"/>
    </row>
    <row r="11" spans="1:9" s="56" customFormat="1" x14ac:dyDescent="0.2">
      <c r="A11" s="68"/>
      <c r="B11" s="244"/>
      <c r="C11" s="244"/>
      <c r="D11" s="244"/>
      <c r="E11" s="244"/>
      <c r="F11" s="244"/>
      <c r="G11" s="244"/>
      <c r="H11" s="244"/>
      <c r="I11" s="244"/>
    </row>
    <row r="12" spans="1:9" s="56" customFormat="1" ht="41.25" customHeight="1" x14ac:dyDescent="0.2">
      <c r="A12" s="92" t="s">
        <v>197</v>
      </c>
      <c r="B12" s="92" t="s">
        <v>619</v>
      </c>
      <c r="C12" s="92" t="s">
        <v>620</v>
      </c>
      <c r="D12" s="92" t="s">
        <v>621</v>
      </c>
      <c r="E12" s="92" t="s">
        <v>622</v>
      </c>
      <c r="F12" s="92" t="s">
        <v>623</v>
      </c>
      <c r="G12" s="92" t="s">
        <v>222</v>
      </c>
      <c r="H12" s="165"/>
      <c r="I12" s="165"/>
    </row>
    <row r="13" spans="1:9" s="56" customFormat="1" x14ac:dyDescent="0.2">
      <c r="A13" s="449" t="s">
        <v>836</v>
      </c>
      <c r="B13" s="208">
        <v>5000</v>
      </c>
      <c r="C13" s="101">
        <v>0</v>
      </c>
      <c r="D13" s="101">
        <v>5000</v>
      </c>
      <c r="E13" s="645">
        <v>0.5</v>
      </c>
      <c r="F13" s="645">
        <v>0.5</v>
      </c>
      <c r="G13" s="446" t="s">
        <v>808</v>
      </c>
      <c r="H13" s="244"/>
      <c r="I13" s="244"/>
    </row>
    <row r="14" spans="1:9" s="56" customFormat="1" x14ac:dyDescent="0.2">
      <c r="A14" s="449" t="s">
        <v>870</v>
      </c>
      <c r="B14" s="208">
        <v>105075</v>
      </c>
      <c r="C14" s="101">
        <v>0</v>
      </c>
      <c r="D14" s="101">
        <v>105075</v>
      </c>
      <c r="E14" s="572">
        <v>1</v>
      </c>
      <c r="F14" s="572">
        <v>1</v>
      </c>
      <c r="G14" s="446" t="s">
        <v>808</v>
      </c>
      <c r="H14" s="244"/>
      <c r="I14" s="244"/>
    </row>
    <row r="15" spans="1:9" s="66" customFormat="1" x14ac:dyDescent="0.2">
      <c r="A15" s="443" t="s">
        <v>636</v>
      </c>
      <c r="B15" s="190">
        <f>SUM(B13:B14)</f>
        <v>110075</v>
      </c>
      <c r="C15" s="190">
        <f>SUM(C13:C14)</f>
        <v>0</v>
      </c>
      <c r="D15" s="190">
        <f>SUM(D13:D14)</f>
        <v>110075</v>
      </c>
      <c r="E15" s="190"/>
      <c r="F15" s="190"/>
      <c r="G15" s="445"/>
      <c r="H15" s="142"/>
      <c r="I15" s="142"/>
    </row>
    <row r="16" spans="1:9" s="56" customFormat="1" x14ac:dyDescent="0.2">
      <c r="A16" s="141"/>
      <c r="B16" s="244"/>
      <c r="C16" s="244"/>
      <c r="D16" s="481">
        <f>Aktywa!D9</f>
        <v>110075</v>
      </c>
      <c r="E16" s="244"/>
      <c r="F16" s="244"/>
      <c r="G16" s="244"/>
      <c r="H16" s="244"/>
      <c r="I16" s="244"/>
    </row>
    <row r="17" spans="1:9" s="56" customFormat="1" x14ac:dyDescent="0.2">
      <c r="A17" s="141"/>
      <c r="B17" s="244"/>
      <c r="C17" s="244"/>
      <c r="D17" s="244"/>
      <c r="E17" s="244"/>
      <c r="F17" s="244"/>
      <c r="G17" s="244"/>
      <c r="H17" s="244"/>
      <c r="I17" s="244"/>
    </row>
    <row r="18" spans="1:9" s="56" customFormat="1" ht="20.399999999999999" x14ac:dyDescent="0.2">
      <c r="A18" s="92" t="s">
        <v>77</v>
      </c>
      <c r="B18" s="92" t="s">
        <v>438</v>
      </c>
      <c r="C18" s="92" t="s">
        <v>439</v>
      </c>
      <c r="D18" s="92" t="s">
        <v>624</v>
      </c>
      <c r="E18" s="92" t="s">
        <v>625</v>
      </c>
      <c r="F18" s="92" t="s">
        <v>626</v>
      </c>
      <c r="G18" s="92" t="s">
        <v>627</v>
      </c>
      <c r="H18" s="92" t="s">
        <v>628</v>
      </c>
      <c r="I18" s="92" t="s">
        <v>629</v>
      </c>
    </row>
    <row r="19" spans="1:9" s="56" customFormat="1" x14ac:dyDescent="0.2">
      <c r="A19" s="640">
        <v>4191.46</v>
      </c>
      <c r="B19" s="101">
        <v>10000</v>
      </c>
      <c r="C19" s="101">
        <v>0</v>
      </c>
      <c r="D19" s="101">
        <v>-5808.54</v>
      </c>
      <c r="E19" s="101">
        <v>4823.1099999999997</v>
      </c>
      <c r="F19" s="101">
        <v>0</v>
      </c>
      <c r="G19" s="101">
        <v>4823.1099999999997</v>
      </c>
      <c r="H19" s="208">
        <v>631.65</v>
      </c>
      <c r="I19" s="208">
        <v>71500</v>
      </c>
    </row>
    <row r="20" spans="1:9" s="56" customFormat="1" x14ac:dyDescent="0.2">
      <c r="A20" s="101">
        <v>-22518.47</v>
      </c>
      <c r="B20" s="101">
        <v>110600</v>
      </c>
      <c r="C20" s="101">
        <v>0</v>
      </c>
      <c r="D20" s="101">
        <v>-86559.94</v>
      </c>
      <c r="E20" s="101">
        <v>48664.09</v>
      </c>
      <c r="F20" s="101">
        <v>1150.24</v>
      </c>
      <c r="G20" s="101">
        <v>47513.85</v>
      </c>
      <c r="H20" s="208">
        <v>69519.13</v>
      </c>
      <c r="I20" s="208">
        <v>0</v>
      </c>
    </row>
    <row r="21" spans="1:9" s="56" customFormat="1" x14ac:dyDescent="0.2">
      <c r="A21" s="141"/>
      <c r="B21" s="244"/>
      <c r="C21" s="244"/>
      <c r="D21" s="244"/>
      <c r="E21" s="244"/>
      <c r="F21" s="244"/>
      <c r="G21" s="244"/>
      <c r="H21" s="244"/>
      <c r="I21" s="244"/>
    </row>
    <row r="22" spans="1:9" s="56" customFormat="1" x14ac:dyDescent="0.2">
      <c r="A22" s="68" t="s">
        <v>869</v>
      </c>
      <c r="B22" s="244"/>
      <c r="C22" s="244"/>
      <c r="D22" s="244"/>
      <c r="E22" s="244"/>
      <c r="F22" s="244"/>
      <c r="G22" s="244"/>
      <c r="H22" s="244"/>
      <c r="I22" s="244"/>
    </row>
    <row r="23" spans="1:9" s="56" customFormat="1" x14ac:dyDescent="0.2">
      <c r="A23" s="68"/>
      <c r="B23" s="244"/>
      <c r="C23" s="244"/>
      <c r="D23" s="244"/>
      <c r="E23" s="244"/>
      <c r="F23" s="244"/>
      <c r="G23" s="244"/>
      <c r="H23" s="244"/>
      <c r="I23" s="244"/>
    </row>
    <row r="24" spans="1:9" s="56" customFormat="1" ht="30.6" x14ac:dyDescent="0.2">
      <c r="A24" s="92" t="s">
        <v>197</v>
      </c>
      <c r="B24" s="92" t="s">
        <v>619</v>
      </c>
      <c r="C24" s="92" t="s">
        <v>620</v>
      </c>
      <c r="D24" s="92" t="s">
        <v>621</v>
      </c>
      <c r="E24" s="92" t="s">
        <v>622</v>
      </c>
      <c r="F24" s="92" t="s">
        <v>623</v>
      </c>
      <c r="G24" s="92" t="s">
        <v>222</v>
      </c>
      <c r="H24" s="165"/>
      <c r="I24" s="165"/>
    </row>
    <row r="25" spans="1:9" s="56" customFormat="1" x14ac:dyDescent="0.2">
      <c r="A25" s="449" t="s">
        <v>836</v>
      </c>
      <c r="B25" s="208">
        <v>5000</v>
      </c>
      <c r="C25" s="101">
        <v>0</v>
      </c>
      <c r="D25" s="101">
        <v>5000</v>
      </c>
      <c r="E25" s="645">
        <v>0.5</v>
      </c>
      <c r="F25" s="645">
        <v>0.5</v>
      </c>
      <c r="G25" s="446" t="s">
        <v>808</v>
      </c>
      <c r="H25" s="244"/>
      <c r="I25" s="244"/>
    </row>
    <row r="26" spans="1:9" s="56" customFormat="1" x14ac:dyDescent="0.2">
      <c r="A26" s="449" t="s">
        <v>870</v>
      </c>
      <c r="B26" s="208">
        <v>110075</v>
      </c>
      <c r="C26" s="101">
        <v>0</v>
      </c>
      <c r="D26" s="101">
        <v>110075</v>
      </c>
      <c r="E26" s="572">
        <v>1</v>
      </c>
      <c r="F26" s="572">
        <v>1</v>
      </c>
      <c r="G26" s="446" t="s">
        <v>808</v>
      </c>
      <c r="H26" s="244"/>
      <c r="I26" s="244"/>
    </row>
    <row r="27" spans="1:9" s="56" customFormat="1" x14ac:dyDescent="0.2">
      <c r="A27" s="443" t="s">
        <v>636</v>
      </c>
      <c r="B27" s="190">
        <f>SUM(B25:B26)</f>
        <v>115075</v>
      </c>
      <c r="C27" s="190">
        <f>SUM(C25:C25)</f>
        <v>0</v>
      </c>
      <c r="D27" s="190">
        <f>SUM(D25:D26)</f>
        <v>115075</v>
      </c>
      <c r="E27" s="190"/>
      <c r="F27" s="190"/>
      <c r="G27" s="445"/>
      <c r="H27" s="244"/>
      <c r="I27" s="244"/>
    </row>
    <row r="28" spans="1:9" s="56" customFormat="1" x14ac:dyDescent="0.2">
      <c r="A28" s="141"/>
      <c r="B28" s="573"/>
      <c r="C28" s="573"/>
      <c r="D28" s="481"/>
      <c r="E28" s="573"/>
      <c r="F28" s="573"/>
      <c r="G28" s="244"/>
      <c r="H28" s="244"/>
      <c r="I28" s="244"/>
    </row>
    <row r="29" spans="1:9" s="56" customFormat="1" x14ac:dyDescent="0.2">
      <c r="A29" s="141"/>
      <c r="B29" s="244"/>
      <c r="C29" s="244"/>
      <c r="D29" s="244"/>
      <c r="E29" s="244"/>
      <c r="F29" s="244"/>
      <c r="G29" s="244"/>
      <c r="H29" s="244"/>
      <c r="I29" s="244"/>
    </row>
    <row r="30" spans="1:9" s="56" customFormat="1" ht="20.399999999999999" x14ac:dyDescent="0.2">
      <c r="A30" s="92" t="s">
        <v>77</v>
      </c>
      <c r="B30" s="92" t="s">
        <v>438</v>
      </c>
      <c r="C30" s="92" t="s">
        <v>439</v>
      </c>
      <c r="D30" s="92" t="s">
        <v>624</v>
      </c>
      <c r="E30" s="92" t="s">
        <v>625</v>
      </c>
      <c r="F30" s="92" t="s">
        <v>626</v>
      </c>
      <c r="G30" s="92" t="s">
        <v>627</v>
      </c>
      <c r="H30" s="92" t="s">
        <v>628</v>
      </c>
      <c r="I30" s="92" t="s">
        <v>629</v>
      </c>
    </row>
    <row r="31" spans="1:9" s="56" customFormat="1" x14ac:dyDescent="0.2">
      <c r="A31" s="640">
        <v>1609.16</v>
      </c>
      <c r="B31" s="101">
        <v>10000</v>
      </c>
      <c r="C31" s="101">
        <v>0</v>
      </c>
      <c r="D31" s="101">
        <v>-8390.84</v>
      </c>
      <c r="E31" s="101">
        <v>2286.87</v>
      </c>
      <c r="F31" s="101">
        <v>0</v>
      </c>
      <c r="G31" s="101">
        <v>2286.87</v>
      </c>
      <c r="H31" s="208">
        <v>677.71</v>
      </c>
      <c r="I31" s="208">
        <v>22985</v>
      </c>
    </row>
    <row r="32" spans="1:9" s="56" customFormat="1" x14ac:dyDescent="0.2">
      <c r="A32" s="639">
        <v>15776</v>
      </c>
      <c r="B32" s="101">
        <v>53268.75</v>
      </c>
      <c r="C32" s="101"/>
      <c r="D32" s="101">
        <v>-37493.019999999997</v>
      </c>
      <c r="E32" s="101">
        <v>72769.929999999993</v>
      </c>
      <c r="F32" s="101">
        <v>1107.99</v>
      </c>
      <c r="G32" s="101">
        <v>71661.94</v>
      </c>
      <c r="H32" s="208">
        <v>56994.2</v>
      </c>
      <c r="I32" s="208">
        <v>0</v>
      </c>
    </row>
    <row r="33" spans="1:9" s="56" customFormat="1" x14ac:dyDescent="0.2">
      <c r="A33" s="149"/>
      <c r="B33" s="149"/>
      <c r="C33" s="149"/>
      <c r="D33" s="149"/>
      <c r="E33" s="149"/>
      <c r="F33" s="149"/>
      <c r="G33" s="149"/>
      <c r="H33" s="149"/>
      <c r="I33" s="149"/>
    </row>
    <row r="34" spans="1:9" s="56" customFormat="1" x14ac:dyDescent="0.2">
      <c r="A34" s="149"/>
      <c r="B34" s="149"/>
      <c r="C34" s="149"/>
      <c r="D34" s="149"/>
      <c r="E34" s="149"/>
      <c r="F34" s="149"/>
      <c r="G34" s="149"/>
      <c r="H34" s="149"/>
      <c r="I34" s="149"/>
    </row>
    <row r="35" spans="1:9" s="56" customFormat="1" x14ac:dyDescent="0.2">
      <c r="A35" s="149"/>
      <c r="B35" s="149"/>
      <c r="C35" s="149"/>
      <c r="D35" s="149"/>
      <c r="E35" s="149"/>
      <c r="F35" s="149"/>
      <c r="G35" s="149"/>
      <c r="H35" s="149"/>
      <c r="I35" s="149"/>
    </row>
    <row r="36" spans="1:9" s="56" customFormat="1" x14ac:dyDescent="0.2">
      <c r="A36" s="149"/>
      <c r="B36" s="149"/>
      <c r="C36" s="149"/>
      <c r="D36" s="149"/>
      <c r="E36" s="149"/>
      <c r="F36" s="149"/>
      <c r="G36" s="149"/>
      <c r="H36" s="149"/>
      <c r="I36" s="149"/>
    </row>
  </sheetData>
  <mergeCells count="1">
    <mergeCell ref="B3:C3"/>
  </mergeCells>
  <phoneticPr fontId="27" type="noConversion"/>
  <pageMargins left="0.75" right="0.75" top="1" bottom="1" header="0.5" footer="0.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abSelected="1" zoomScaleNormal="100" zoomScaleSheetLayoutView="90" workbookViewId="0">
      <selection activeCell="I13" sqref="I13"/>
    </sheetView>
  </sheetViews>
  <sheetFormatPr defaultColWidth="9.109375" defaultRowHeight="10.199999999999999" x14ac:dyDescent="0.2"/>
  <cols>
    <col min="1" max="1" width="27" style="244" customWidth="1"/>
    <col min="2" max="5" width="15.6640625" style="244" customWidth="1"/>
    <col min="6" max="16384" width="9.109375" style="244"/>
  </cols>
  <sheetData>
    <row r="1" spans="1:5" s="222" customFormat="1" ht="19.5" customHeight="1" x14ac:dyDescent="0.2">
      <c r="A1" s="741"/>
      <c r="B1" s="742"/>
      <c r="C1" s="742"/>
    </row>
    <row r="2" spans="1:5" s="222" customFormat="1" x14ac:dyDescent="0.2">
      <c r="A2" s="538" t="s">
        <v>997</v>
      </c>
      <c r="B2" s="537"/>
      <c r="C2" s="537"/>
    </row>
    <row r="3" spans="1:5" s="222" customFormat="1" x14ac:dyDescent="0.2">
      <c r="A3" s="223"/>
      <c r="B3" s="537"/>
      <c r="C3" s="537"/>
    </row>
    <row r="4" spans="1:5" x14ac:dyDescent="0.2">
      <c r="A4" s="596" t="s">
        <v>416</v>
      </c>
      <c r="B4" s="743" t="str">
        <f>'Dane podstawowe'!B7</f>
        <v>01.01.2016-31.12.2016</v>
      </c>
      <c r="C4" s="743"/>
      <c r="D4" s="743" t="str">
        <f>'Dane podstawowe'!B12</f>
        <v>01.01.2015-31.12.2015</v>
      </c>
      <c r="E4" s="743"/>
    </row>
    <row r="5" spans="1:5" x14ac:dyDescent="0.2">
      <c r="A5" s="596"/>
      <c r="B5" s="596" t="s">
        <v>14</v>
      </c>
      <c r="C5" s="596" t="s">
        <v>15</v>
      </c>
      <c r="D5" s="596" t="s">
        <v>14</v>
      </c>
      <c r="E5" s="596" t="s">
        <v>15</v>
      </c>
    </row>
    <row r="6" spans="1:5" ht="13.95" customHeight="1" x14ac:dyDescent="0.2">
      <c r="A6" s="743" t="s">
        <v>708</v>
      </c>
      <c r="B6" s="743"/>
      <c r="C6" s="743"/>
      <c r="D6" s="743"/>
      <c r="E6" s="743"/>
    </row>
    <row r="7" spans="1:5" ht="30.6" x14ac:dyDescent="0.2">
      <c r="A7" s="583" t="s">
        <v>150</v>
      </c>
      <c r="B7" s="539">
        <f>RZiS!D3</f>
        <v>41342256</v>
      </c>
      <c r="C7" s="539">
        <f>B7/$C$31</f>
        <v>9445124.8543556221</v>
      </c>
      <c r="D7" s="539">
        <f>RZiS!E3</f>
        <v>38260289</v>
      </c>
      <c r="E7" s="539">
        <f>D7/$E$31</f>
        <v>9142680.4148346391</v>
      </c>
    </row>
    <row r="8" spans="1:5" x14ac:dyDescent="0.2">
      <c r="A8" s="583" t="s">
        <v>151</v>
      </c>
      <c r="B8" s="539">
        <f>RZiS!D7</f>
        <v>35612639</v>
      </c>
      <c r="C8" s="539">
        <f>B8/$C$31</f>
        <v>8136126.4307418149</v>
      </c>
      <c r="D8" s="539">
        <f>RZiS!E7</f>
        <v>31923273</v>
      </c>
      <c r="E8" s="539">
        <f>D8/$E$31</f>
        <v>7628386.7807302615</v>
      </c>
    </row>
    <row r="9" spans="1:5" ht="20.399999999999999" x14ac:dyDescent="0.2">
      <c r="A9" s="583" t="s">
        <v>447</v>
      </c>
      <c r="B9" s="539">
        <f>RZiS!D21</f>
        <v>5337568.2</v>
      </c>
      <c r="C9" s="539">
        <f>B9/$C$31</f>
        <v>1219430.2620456466</v>
      </c>
      <c r="D9" s="539">
        <f>RZiS!E21</f>
        <v>6247231</v>
      </c>
      <c r="E9" s="539">
        <f>D9/$E$31</f>
        <v>1492838.6063850124</v>
      </c>
    </row>
    <row r="10" spans="1:5" x14ac:dyDescent="0.2">
      <c r="A10" s="583" t="s">
        <v>152</v>
      </c>
      <c r="B10" s="539">
        <f>RZiS!D26</f>
        <v>5235402.08</v>
      </c>
      <c r="C10" s="539">
        <f>B10/$C$31</f>
        <v>1196089.209750748</v>
      </c>
      <c r="D10" s="539">
        <f>RZiS!E26</f>
        <v>5285507</v>
      </c>
      <c r="E10" s="539">
        <f>D10/$E$31</f>
        <v>1263024.995220799</v>
      </c>
    </row>
    <row r="11" spans="1:5" x14ac:dyDescent="0.2">
      <c r="A11" s="583" t="s">
        <v>153</v>
      </c>
      <c r="B11" s="539">
        <f>RZiS!D31</f>
        <v>3978657.2199999997</v>
      </c>
      <c r="C11" s="539">
        <f>B11/$C$31</f>
        <v>908971.058463366</v>
      </c>
      <c r="D11" s="539">
        <f>RZiS!E31</f>
        <v>4049562</v>
      </c>
      <c r="E11" s="539">
        <f>D11/$E$31</f>
        <v>967683.52131523611</v>
      </c>
    </row>
    <row r="12" spans="1:5" x14ac:dyDescent="0.2">
      <c r="A12" s="583" t="s">
        <v>154</v>
      </c>
      <c r="B12" s="539">
        <v>2291551</v>
      </c>
      <c r="C12" s="539">
        <f>B12</f>
        <v>2291551</v>
      </c>
      <c r="D12" s="539">
        <v>2215500</v>
      </c>
      <c r="E12" s="539">
        <f>D12</f>
        <v>2215500</v>
      </c>
    </row>
    <row r="13" spans="1:5" ht="20.399999999999999" x14ac:dyDescent="0.2">
      <c r="A13" s="583" t="s">
        <v>156</v>
      </c>
      <c r="B13" s="598">
        <f>B11/B12</f>
        <v>1.7362289645746483</v>
      </c>
      <c r="C13" s="598">
        <f>B13/$C$31</f>
        <v>0.39666193703014507</v>
      </c>
      <c r="D13" s="598">
        <f>D11/D12</f>
        <v>1.8278320920785376</v>
      </c>
      <c r="E13" s="598">
        <f>D13/$E$31</f>
        <v>0.43677884058462474</v>
      </c>
    </row>
    <row r="14" spans="1:5" s="149" customFormat="1" x14ac:dyDescent="0.2">
      <c r="A14" s="583"/>
      <c r="B14" s="539"/>
      <c r="C14" s="539"/>
      <c r="D14" s="539"/>
      <c r="E14" s="539"/>
    </row>
    <row r="15" spans="1:5" ht="13.95" customHeight="1" x14ac:dyDescent="0.2">
      <c r="A15" s="743" t="s">
        <v>709</v>
      </c>
      <c r="B15" s="743"/>
      <c r="C15" s="743"/>
      <c r="D15" s="743"/>
      <c r="E15" s="743"/>
    </row>
    <row r="16" spans="1:5" x14ac:dyDescent="0.2">
      <c r="A16" s="583" t="s">
        <v>626</v>
      </c>
      <c r="B16" s="539">
        <f>Aktywa!D3</f>
        <v>13530322</v>
      </c>
      <c r="C16" s="539">
        <f t="shared" ref="C16:C20" si="0">B16/$C$30</f>
        <v>3058391.048824593</v>
      </c>
      <c r="D16" s="539">
        <f>Aktywa!E3</f>
        <v>11967559</v>
      </c>
      <c r="E16" s="539">
        <f t="shared" ref="E16:E21" si="1">D16/$E$30</f>
        <v>2808297.3131526457</v>
      </c>
    </row>
    <row r="17" spans="1:5" x14ac:dyDescent="0.2">
      <c r="A17" s="583" t="s">
        <v>627</v>
      </c>
      <c r="B17" s="539">
        <f>Aktywa!D15</f>
        <v>16092450.890000001</v>
      </c>
      <c r="C17" s="539">
        <f t="shared" si="0"/>
        <v>3637534.1071428568</v>
      </c>
      <c r="D17" s="539">
        <f>Aktywa!E15</f>
        <v>13455224</v>
      </c>
      <c r="E17" s="539">
        <f t="shared" si="1"/>
        <v>3157391.5288044116</v>
      </c>
    </row>
    <row r="18" spans="1:5" x14ac:dyDescent="0.2">
      <c r="A18" s="583" t="s">
        <v>77</v>
      </c>
      <c r="B18" s="539">
        <f>Pasywa!D3</f>
        <v>22477097.210000001</v>
      </c>
      <c r="C18" s="539">
        <f t="shared" si="0"/>
        <v>5080718.1758589512</v>
      </c>
      <c r="D18" s="539">
        <f>Pasywa!E3</f>
        <v>18907917</v>
      </c>
      <c r="E18" s="539">
        <f t="shared" si="1"/>
        <v>4436915.8746920098</v>
      </c>
    </row>
    <row r="19" spans="1:5" x14ac:dyDescent="0.2">
      <c r="A19" s="583" t="s">
        <v>414</v>
      </c>
      <c r="B19" s="539">
        <f>Pasywa!D13</f>
        <v>554322</v>
      </c>
      <c r="C19" s="539">
        <f t="shared" si="0"/>
        <v>125298.82459312837</v>
      </c>
      <c r="D19" s="539">
        <f>Pasywa!E13</f>
        <v>300765</v>
      </c>
      <c r="E19" s="539">
        <f t="shared" si="1"/>
        <v>70577.261527631112</v>
      </c>
    </row>
    <row r="20" spans="1:5" x14ac:dyDescent="0.2">
      <c r="A20" s="583" t="s">
        <v>413</v>
      </c>
      <c r="B20" s="539">
        <f>Pasywa!D21</f>
        <v>6591354</v>
      </c>
      <c r="C20" s="597">
        <f t="shared" si="0"/>
        <v>1489908.2278481012</v>
      </c>
      <c r="D20" s="539">
        <f>Pasywa!E21</f>
        <v>6214101</v>
      </c>
      <c r="E20" s="597">
        <f t="shared" si="1"/>
        <v>1458195.7057374164</v>
      </c>
    </row>
    <row r="21" spans="1:5" x14ac:dyDescent="0.2">
      <c r="A21" s="583" t="s">
        <v>155</v>
      </c>
      <c r="B21" s="598">
        <f>B18/'wybrane dane finansowe'!B12</f>
        <v>9.8086829444337056</v>
      </c>
      <c r="C21" s="598">
        <f>B21/$C$30</f>
        <v>2.217152564293333</v>
      </c>
      <c r="D21" s="598">
        <f>D18/'wybrane dane finansowe'!D12</f>
        <v>8.5343791469194308</v>
      </c>
      <c r="E21" s="598">
        <f t="shared" si="1"/>
        <v>2.0026702210300202</v>
      </c>
    </row>
    <row r="22" spans="1:5" s="149" customFormat="1" x14ac:dyDescent="0.2">
      <c r="A22" s="494"/>
      <c r="B22" s="494"/>
      <c r="C22" s="494"/>
      <c r="D22" s="494"/>
      <c r="E22" s="494"/>
    </row>
    <row r="23" spans="1:5" ht="13.95" customHeight="1" x14ac:dyDescent="0.2">
      <c r="A23" s="745" t="s">
        <v>710</v>
      </c>
      <c r="B23" s="745"/>
      <c r="C23" s="745"/>
      <c r="D23" s="745"/>
      <c r="E23" s="745"/>
    </row>
    <row r="24" spans="1:5" ht="20.399999999999999" x14ac:dyDescent="0.2">
      <c r="A24" s="583" t="s">
        <v>461</v>
      </c>
      <c r="B24" s="539">
        <f>RPP!C21</f>
        <v>2815865.09</v>
      </c>
      <c r="C24" s="539">
        <f>B24/$C$31</f>
        <v>643317.51387905225</v>
      </c>
      <c r="D24" s="539">
        <f>RPP!D21</f>
        <v>3231582.0199999996</v>
      </c>
      <c r="E24" s="597">
        <f>D24/$E$31</f>
        <v>772218.98776524549</v>
      </c>
    </row>
    <row r="25" spans="1:5" ht="20.399999999999999" x14ac:dyDescent="0.2">
      <c r="A25" s="583" t="s">
        <v>466</v>
      </c>
      <c r="B25" s="539">
        <f>RPP!C34</f>
        <v>-2536789</v>
      </c>
      <c r="C25" s="539">
        <f>B25/$C$31</f>
        <v>-579559.29725160485</v>
      </c>
      <c r="D25" s="539">
        <f>RPP!D34</f>
        <v>-1992863</v>
      </c>
      <c r="E25" s="539">
        <f>D25/$E$31</f>
        <v>-476214.63391320972</v>
      </c>
    </row>
    <row r="26" spans="1:5" ht="20.399999999999999" x14ac:dyDescent="0.2">
      <c r="A26" s="583" t="s">
        <v>478</v>
      </c>
      <c r="B26" s="539">
        <f>RPP!C51</f>
        <v>354887</v>
      </c>
      <c r="C26" s="539">
        <f>B26/$C$31</f>
        <v>81078.111078111076</v>
      </c>
      <c r="D26" s="539">
        <f>RPP!D51</f>
        <v>-92993</v>
      </c>
      <c r="E26" s="539">
        <f>D26/$E$31</f>
        <v>-22221.611546549415</v>
      </c>
    </row>
    <row r="27" spans="1:5" x14ac:dyDescent="0.2">
      <c r="A27" s="149"/>
      <c r="B27" s="149"/>
      <c r="C27" s="149"/>
      <c r="D27" s="149"/>
      <c r="E27" s="149"/>
    </row>
    <row r="28" spans="1:5" x14ac:dyDescent="0.2">
      <c r="A28" s="149"/>
      <c r="B28" s="149"/>
      <c r="C28" s="149"/>
      <c r="D28" s="149"/>
      <c r="E28" s="149"/>
    </row>
    <row r="29" spans="1:5" x14ac:dyDescent="0.2">
      <c r="A29" s="131" t="s">
        <v>711</v>
      </c>
      <c r="B29" s="131"/>
      <c r="C29" s="131">
        <v>2016</v>
      </c>
      <c r="D29" s="131"/>
      <c r="E29" s="131">
        <v>2015</v>
      </c>
    </row>
    <row r="30" spans="1:5" x14ac:dyDescent="0.2">
      <c r="A30" s="540" t="s">
        <v>712</v>
      </c>
      <c r="B30" s="149"/>
      <c r="C30" s="541">
        <v>4.4240000000000004</v>
      </c>
      <c r="D30" s="149"/>
      <c r="E30" s="149">
        <v>4.2614999999999998</v>
      </c>
    </row>
    <row r="31" spans="1:5" x14ac:dyDescent="0.2">
      <c r="A31" s="540" t="s">
        <v>713</v>
      </c>
      <c r="B31" s="149"/>
      <c r="C31" s="541">
        <v>4.3771000000000004</v>
      </c>
      <c r="D31" s="149"/>
      <c r="E31" s="541">
        <v>4.1848000000000001</v>
      </c>
    </row>
    <row r="32" spans="1:5" x14ac:dyDescent="0.2">
      <c r="A32" s="149"/>
      <c r="B32" s="149"/>
      <c r="C32" s="149"/>
      <c r="D32" s="149"/>
      <c r="E32" s="149"/>
    </row>
    <row r="33" spans="1:5" x14ac:dyDescent="0.2">
      <c r="A33" s="149"/>
      <c r="B33" s="149"/>
      <c r="C33" s="149"/>
      <c r="D33" s="149"/>
      <c r="E33" s="149"/>
    </row>
    <row r="34" spans="1:5" ht="37.5" customHeight="1" x14ac:dyDescent="0.2">
      <c r="A34" s="744" t="s">
        <v>714</v>
      </c>
      <c r="B34" s="744"/>
      <c r="C34" s="744"/>
      <c r="D34" s="744"/>
      <c r="E34" s="744"/>
    </row>
  </sheetData>
  <mergeCells count="7">
    <mergeCell ref="A1:C1"/>
    <mergeCell ref="B4:C4"/>
    <mergeCell ref="D4:E4"/>
    <mergeCell ref="A34:E34"/>
    <mergeCell ref="A6:E6"/>
    <mergeCell ref="A15:E15"/>
    <mergeCell ref="A23:E23"/>
  </mergeCells>
  <pageMargins left="0.7" right="0.7" top="0.75" bottom="0.75" header="0.3" footer="0.3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4"/>
  <sheetViews>
    <sheetView showGridLines="0" view="pageBreakPreview" topLeftCell="A62" zoomScaleNormal="100" zoomScaleSheetLayoutView="100" workbookViewId="0">
      <selection activeCell="A76" sqref="A76"/>
    </sheetView>
  </sheetViews>
  <sheetFormatPr defaultColWidth="9.109375" defaultRowHeight="10.199999999999999" x14ac:dyDescent="0.25"/>
  <cols>
    <col min="1" max="1" width="50.5546875" style="165" customWidth="1"/>
    <col min="2" max="7" width="14.5546875" style="165" customWidth="1"/>
    <col min="8" max="16384" width="9.109375" style="165"/>
  </cols>
  <sheetData>
    <row r="1" spans="1:6" x14ac:dyDescent="0.25">
      <c r="A1" s="265"/>
    </row>
    <row r="2" spans="1:6" ht="13.2" x14ac:dyDescent="0.25">
      <c r="A2" s="534" t="s">
        <v>975</v>
      </c>
      <c r="B2" s="534"/>
      <c r="C2" s="534"/>
      <c r="D2" s="534"/>
      <c r="E2" s="534"/>
      <c r="F2" s="534"/>
    </row>
    <row r="3" spans="1:6" x14ac:dyDescent="0.25">
      <c r="A3" s="163"/>
    </row>
    <row r="4" spans="1:6" s="467" customFormat="1" x14ac:dyDescent="0.2">
      <c r="A4" s="578" t="s">
        <v>221</v>
      </c>
      <c r="B4" s="623">
        <v>42735</v>
      </c>
      <c r="C4" s="623">
        <v>42369</v>
      </c>
    </row>
    <row r="5" spans="1:6" s="56" customFormat="1" x14ac:dyDescent="0.2">
      <c r="A5" s="147" t="s">
        <v>630</v>
      </c>
      <c r="B5" s="258">
        <v>44422</v>
      </c>
      <c r="C5" s="258">
        <v>39165</v>
      </c>
    </row>
    <row r="6" spans="1:6" s="56" customFormat="1" x14ac:dyDescent="0.2">
      <c r="A6" s="147" t="s">
        <v>631</v>
      </c>
      <c r="B6" s="494"/>
      <c r="C6" s="494">
        <v>0</v>
      </c>
    </row>
    <row r="7" spans="1:6" s="56" customFormat="1" ht="12.75" customHeight="1" x14ac:dyDescent="0.2">
      <c r="A7" s="147" t="s">
        <v>571</v>
      </c>
      <c r="B7" s="494"/>
      <c r="C7" s="494"/>
    </row>
    <row r="8" spans="1:6" s="56" customFormat="1" x14ac:dyDescent="0.2">
      <c r="A8" s="147" t="s">
        <v>632</v>
      </c>
      <c r="B8" s="494"/>
      <c r="C8" s="494"/>
    </row>
    <row r="9" spans="1:6" s="56" customFormat="1" x14ac:dyDescent="0.2">
      <c r="A9" s="147" t="s">
        <v>633</v>
      </c>
      <c r="B9" s="494"/>
      <c r="C9" s="494"/>
    </row>
    <row r="10" spans="1:6" s="56" customFormat="1" x14ac:dyDescent="0.2">
      <c r="A10" s="83" t="s">
        <v>289</v>
      </c>
      <c r="B10" s="494"/>
      <c r="C10" s="494"/>
    </row>
    <row r="11" spans="1:6" s="56" customFormat="1" x14ac:dyDescent="0.2">
      <c r="A11" s="83" t="s">
        <v>290</v>
      </c>
      <c r="B11" s="494"/>
      <c r="C11" s="494"/>
    </row>
    <row r="12" spans="1:6" s="56" customFormat="1" x14ac:dyDescent="0.2">
      <c r="A12" s="147" t="s">
        <v>634</v>
      </c>
      <c r="B12" s="494"/>
      <c r="C12" s="494"/>
    </row>
    <row r="13" spans="1:6" s="56" customFormat="1" x14ac:dyDescent="0.2">
      <c r="A13" s="148" t="s">
        <v>26</v>
      </c>
      <c r="B13" s="116">
        <f>B5+B7+B8+B9+B10+B11+B12</f>
        <v>44422</v>
      </c>
      <c r="C13" s="116">
        <f>C5+C7+C8+C9+C10+C11+C12</f>
        <v>39165</v>
      </c>
    </row>
    <row r="14" spans="1:6" s="56" customFormat="1" x14ac:dyDescent="0.2">
      <c r="B14" s="404">
        <f>Aktywa!D22-B13</f>
        <v>0</v>
      </c>
      <c r="C14" s="404">
        <f>Aktywa!E22-C13</f>
        <v>0</v>
      </c>
    </row>
    <row r="15" spans="1:6" s="56" customFormat="1" x14ac:dyDescent="0.2"/>
    <row r="16" spans="1:6" x14ac:dyDescent="0.25">
      <c r="A16" s="92" t="s">
        <v>224</v>
      </c>
      <c r="B16" s="623">
        <v>42735</v>
      </c>
      <c r="C16" s="623">
        <v>42369</v>
      </c>
    </row>
    <row r="17" spans="1:9" x14ac:dyDescent="0.2">
      <c r="A17" s="147" t="s">
        <v>630</v>
      </c>
      <c r="B17" s="258">
        <v>44422</v>
      </c>
      <c r="C17" s="258">
        <v>39165</v>
      </c>
    </row>
    <row r="18" spans="1:9" x14ac:dyDescent="0.2">
      <c r="A18" s="147" t="s">
        <v>631</v>
      </c>
      <c r="B18" s="258">
        <v>0</v>
      </c>
      <c r="C18" s="258">
        <v>0</v>
      </c>
    </row>
    <row r="19" spans="1:9" x14ac:dyDescent="0.2">
      <c r="A19" s="147" t="s">
        <v>571</v>
      </c>
      <c r="B19" s="258"/>
      <c r="C19" s="258"/>
    </row>
    <row r="20" spans="1:9" x14ac:dyDescent="0.2">
      <c r="A20" s="147" t="s">
        <v>632</v>
      </c>
      <c r="B20" s="258"/>
      <c r="C20" s="258"/>
    </row>
    <row r="21" spans="1:9" x14ac:dyDescent="0.2">
      <c r="A21" s="147" t="s">
        <v>633</v>
      </c>
      <c r="B21" s="258"/>
      <c r="C21" s="258"/>
    </row>
    <row r="22" spans="1:9" x14ac:dyDescent="0.2">
      <c r="A22" s="147" t="s">
        <v>291</v>
      </c>
      <c r="B22" s="258"/>
      <c r="C22" s="258"/>
    </row>
    <row r="23" spans="1:9" x14ac:dyDescent="0.2">
      <c r="A23" s="147" t="s">
        <v>634</v>
      </c>
      <c r="B23" s="258"/>
      <c r="C23" s="258"/>
    </row>
    <row r="24" spans="1:9" x14ac:dyDescent="0.2">
      <c r="A24" s="148" t="s">
        <v>26</v>
      </c>
      <c r="B24" s="116">
        <f>B17+B19+B20+B21+B22+B23</f>
        <v>44422</v>
      </c>
      <c r="C24" s="116">
        <f>C17+C19+C20+C21+C22+C23</f>
        <v>39165</v>
      </c>
    </row>
    <row r="25" spans="1:9" x14ac:dyDescent="0.25">
      <c r="A25" s="164"/>
      <c r="B25" s="415">
        <f>Aktywa!D22-B24</f>
        <v>0</v>
      </c>
      <c r="C25" s="415">
        <f>Aktywa!E22-C24</f>
        <v>0</v>
      </c>
    </row>
    <row r="26" spans="1:9" s="56" customFormat="1" x14ac:dyDescent="0.2">
      <c r="A26" s="774"/>
      <c r="B26" s="774"/>
      <c r="C26" s="774"/>
      <c r="D26" s="581"/>
      <c r="E26" s="581"/>
      <c r="F26" s="581"/>
      <c r="G26" s="118"/>
      <c r="H26" s="118"/>
      <c r="I26" s="118"/>
    </row>
    <row r="27" spans="1:9" x14ac:dyDescent="0.25">
      <c r="A27" s="164"/>
    </row>
    <row r="28" spans="1:9" x14ac:dyDescent="0.25">
      <c r="A28" s="164" t="s">
        <v>645</v>
      </c>
    </row>
    <row r="29" spans="1:9" x14ac:dyDescent="0.25">
      <c r="A29" s="164"/>
    </row>
    <row r="30" spans="1:9" x14ac:dyDescent="0.25">
      <c r="A30" s="166"/>
      <c r="B30" s="623">
        <v>42735</v>
      </c>
      <c r="C30" s="623">
        <v>42369</v>
      </c>
    </row>
    <row r="31" spans="1:9" x14ac:dyDescent="0.25">
      <c r="A31" s="171" t="s">
        <v>647</v>
      </c>
      <c r="B31" s="167">
        <v>44422</v>
      </c>
      <c r="C31" s="167">
        <v>39165</v>
      </c>
    </row>
    <row r="32" spans="1:9" x14ac:dyDescent="0.25">
      <c r="A32" s="129" t="s">
        <v>648</v>
      </c>
      <c r="B32" s="167">
        <v>0</v>
      </c>
      <c r="C32" s="167">
        <v>0</v>
      </c>
    </row>
    <row r="33" spans="1:7" x14ac:dyDescent="0.25">
      <c r="A33" s="171" t="s">
        <v>649</v>
      </c>
      <c r="B33" s="167"/>
      <c r="C33" s="167"/>
    </row>
    <row r="34" spans="1:7" x14ac:dyDescent="0.25">
      <c r="A34" s="172" t="s">
        <v>650</v>
      </c>
      <c r="B34" s="579">
        <f>B31-B33</f>
        <v>44422</v>
      </c>
      <c r="C34" s="674">
        <f>C31-C33</f>
        <v>39165</v>
      </c>
    </row>
    <row r="35" spans="1:7" x14ac:dyDescent="0.25">
      <c r="A35" s="482" t="s">
        <v>643</v>
      </c>
      <c r="B35" s="168"/>
      <c r="C35" s="168"/>
    </row>
    <row r="36" spans="1:7" x14ac:dyDescent="0.25">
      <c r="A36" s="482" t="s">
        <v>644</v>
      </c>
      <c r="B36" s="168">
        <v>44422</v>
      </c>
      <c r="C36" s="168">
        <v>39165</v>
      </c>
    </row>
    <row r="37" spans="1:7" x14ac:dyDescent="0.25">
      <c r="A37" s="164"/>
      <c r="B37" s="415">
        <f>Aktywa!D22-B34</f>
        <v>0</v>
      </c>
      <c r="C37" s="415">
        <f>Aktywa!E22-C34</f>
        <v>0</v>
      </c>
    </row>
    <row r="38" spans="1:7" x14ac:dyDescent="0.25">
      <c r="A38" s="173" t="s">
        <v>400</v>
      </c>
    </row>
    <row r="39" spans="1:7" x14ac:dyDescent="0.25">
      <c r="A39" s="164"/>
    </row>
    <row r="40" spans="1:7" x14ac:dyDescent="0.25">
      <c r="A40" s="757" t="s">
        <v>651</v>
      </c>
      <c r="B40" s="757" t="s">
        <v>652</v>
      </c>
      <c r="C40" s="757" t="s">
        <v>412</v>
      </c>
      <c r="D40" s="772" t="s">
        <v>653</v>
      </c>
      <c r="E40" s="773"/>
      <c r="F40" s="757" t="s">
        <v>604</v>
      </c>
      <c r="G40" s="757" t="s">
        <v>107</v>
      </c>
    </row>
    <row r="41" spans="1:7" x14ac:dyDescent="0.25">
      <c r="A41" s="757"/>
      <c r="B41" s="757"/>
      <c r="C41" s="757"/>
      <c r="D41" s="92" t="s">
        <v>654</v>
      </c>
      <c r="E41" s="92" t="s">
        <v>655</v>
      </c>
      <c r="F41" s="757"/>
      <c r="G41" s="757"/>
    </row>
    <row r="42" spans="1:7" x14ac:dyDescent="0.25">
      <c r="A42" s="169" t="s">
        <v>902</v>
      </c>
      <c r="B42" s="200">
        <v>44422</v>
      </c>
      <c r="C42" s="205">
        <v>44422</v>
      </c>
      <c r="D42" s="453">
        <v>5.5E-2</v>
      </c>
      <c r="E42" s="452"/>
      <c r="F42" s="448">
        <v>43100</v>
      </c>
      <c r="G42" s="652" t="s">
        <v>822</v>
      </c>
    </row>
    <row r="43" spans="1:7" x14ac:dyDescent="0.25">
      <c r="A43" s="169" t="s">
        <v>871</v>
      </c>
      <c r="B43" s="200">
        <v>39165</v>
      </c>
      <c r="C43" s="205">
        <v>39165</v>
      </c>
      <c r="D43" s="453">
        <v>5.5E-2</v>
      </c>
      <c r="E43" s="452"/>
      <c r="F43" s="448">
        <v>42735</v>
      </c>
      <c r="G43" s="652" t="s">
        <v>822</v>
      </c>
    </row>
    <row r="44" spans="1:7" hidden="1" x14ac:dyDescent="0.25">
      <c r="A44" s="586" t="s">
        <v>823</v>
      </c>
      <c r="B44" s="167"/>
      <c r="C44" s="314"/>
      <c r="D44" s="453"/>
      <c r="E44" s="452"/>
      <c r="F44" s="584"/>
      <c r="G44" s="585" t="s">
        <v>822</v>
      </c>
    </row>
    <row r="45" spans="1:7" hidden="1" x14ac:dyDescent="0.25">
      <c r="A45" s="586" t="s">
        <v>824</v>
      </c>
      <c r="B45" s="167"/>
      <c r="C45" s="314"/>
      <c r="D45" s="453">
        <v>5.5E-2</v>
      </c>
      <c r="E45" s="452"/>
      <c r="F45" s="584"/>
      <c r="G45" s="585" t="s">
        <v>822</v>
      </c>
    </row>
    <row r="46" spans="1:7" hidden="1" x14ac:dyDescent="0.25">
      <c r="A46" s="586" t="s">
        <v>824</v>
      </c>
      <c r="B46" s="167"/>
      <c r="C46" s="314"/>
      <c r="D46" s="453">
        <v>5.5E-2</v>
      </c>
      <c r="E46" s="452"/>
      <c r="F46" s="584"/>
      <c r="G46" s="585" t="s">
        <v>822</v>
      </c>
    </row>
    <row r="47" spans="1:7" x14ac:dyDescent="0.25">
      <c r="B47" s="636">
        <v>42735</v>
      </c>
      <c r="C47" s="415">
        <f>Aktywa!D22</f>
        <v>44422</v>
      </c>
      <c r="F47" s="447"/>
    </row>
    <row r="48" spans="1:7" x14ac:dyDescent="0.25">
      <c r="B48" s="636">
        <v>42369</v>
      </c>
      <c r="C48" s="415">
        <f>Aktywa!E22</f>
        <v>39165</v>
      </c>
    </row>
    <row r="49" spans="1:7" s="478" customFormat="1" x14ac:dyDescent="0.25">
      <c r="A49" s="480"/>
      <c r="F49" s="416"/>
      <c r="G49" s="417"/>
    </row>
    <row r="50" spans="1:7" s="302" customFormat="1" x14ac:dyDescent="0.25">
      <c r="A50" s="164" t="s">
        <v>527</v>
      </c>
    </row>
    <row r="51" spans="1:7" s="302" customFormat="1" ht="61.2" x14ac:dyDescent="0.25">
      <c r="A51" s="92" t="str">
        <f>'Dane podstawowe'!B7</f>
        <v>01.01.2016-31.12.2016</v>
      </c>
      <c r="B51" s="657" t="s">
        <v>428</v>
      </c>
      <c r="C51" s="92" t="s">
        <v>165</v>
      </c>
      <c r="D51" s="92" t="s">
        <v>424</v>
      </c>
      <c r="E51" s="92" t="s">
        <v>163</v>
      </c>
      <c r="F51" s="92" t="s">
        <v>162</v>
      </c>
      <c r="G51" s="92" t="s">
        <v>164</v>
      </c>
    </row>
    <row r="52" spans="1:7" s="302" customFormat="1" x14ac:dyDescent="0.2">
      <c r="A52" s="576" t="s">
        <v>528</v>
      </c>
      <c r="B52" s="190">
        <f>B92</f>
        <v>195880</v>
      </c>
      <c r="C52" s="190">
        <f t="shared" ref="C52:G52" si="0">C92</f>
        <v>0</v>
      </c>
      <c r="D52" s="190">
        <f t="shared" si="0"/>
        <v>0</v>
      </c>
      <c r="E52" s="190">
        <f t="shared" si="0"/>
        <v>39165</v>
      </c>
      <c r="F52" s="190">
        <f t="shared" si="0"/>
        <v>0</v>
      </c>
      <c r="G52" s="190">
        <f t="shared" si="0"/>
        <v>0</v>
      </c>
    </row>
    <row r="53" spans="1:7" s="286" customFormat="1" x14ac:dyDescent="0.2">
      <c r="A53" s="422" t="s">
        <v>184</v>
      </c>
      <c r="B53" s="299">
        <f>SUM(B54:B61)</f>
        <v>0</v>
      </c>
      <c r="C53" s="299">
        <f t="shared" ref="C53:G53" si="1">SUM(C54:C60)</f>
        <v>0</v>
      </c>
      <c r="D53" s="299">
        <f t="shared" si="1"/>
        <v>0</v>
      </c>
      <c r="E53" s="299">
        <f t="shared" si="1"/>
        <v>5257</v>
      </c>
      <c r="F53" s="299">
        <f t="shared" si="1"/>
        <v>0</v>
      </c>
      <c r="G53" s="299">
        <f t="shared" si="1"/>
        <v>0</v>
      </c>
    </row>
    <row r="54" spans="1:7" s="302" customFormat="1" x14ac:dyDescent="0.2">
      <c r="A54" s="577" t="s">
        <v>825</v>
      </c>
      <c r="B54" s="587"/>
      <c r="C54" s="193"/>
      <c r="D54" s="193"/>
      <c r="E54" s="193"/>
      <c r="F54" s="209"/>
      <c r="G54" s="209"/>
    </row>
    <row r="55" spans="1:7" s="302" customFormat="1" x14ac:dyDescent="0.2">
      <c r="A55" s="577" t="s">
        <v>529</v>
      </c>
      <c r="B55" s="423"/>
      <c r="C55" s="193"/>
      <c r="D55" s="193"/>
      <c r="E55" s="193"/>
      <c r="F55" s="209"/>
      <c r="G55" s="209"/>
    </row>
    <row r="56" spans="1:7" s="302" customFormat="1" x14ac:dyDescent="0.2">
      <c r="A56" s="577" t="s">
        <v>530</v>
      </c>
      <c r="B56" s="587"/>
      <c r="C56" s="193"/>
      <c r="D56" s="193"/>
      <c r="E56" s="193"/>
      <c r="F56" s="209"/>
      <c r="G56" s="209"/>
    </row>
    <row r="57" spans="1:7" s="302" customFormat="1" x14ac:dyDescent="0.2">
      <c r="A57" s="575" t="s">
        <v>662</v>
      </c>
      <c r="B57" s="587"/>
      <c r="C57" s="193"/>
      <c r="D57" s="193"/>
      <c r="E57" s="193"/>
      <c r="F57" s="209"/>
      <c r="G57" s="209"/>
    </row>
    <row r="58" spans="1:7" s="302" customFormat="1" x14ac:dyDescent="0.2">
      <c r="A58" s="575" t="s">
        <v>663</v>
      </c>
      <c r="B58" s="587"/>
      <c r="C58" s="193"/>
      <c r="D58" s="193"/>
      <c r="E58" s="193"/>
      <c r="F58" s="209"/>
      <c r="G58" s="209"/>
    </row>
    <row r="59" spans="1:7" s="302" customFormat="1" x14ac:dyDescent="0.2">
      <c r="A59" s="575" t="s">
        <v>664</v>
      </c>
      <c r="B59" s="421"/>
      <c r="C59" s="99"/>
      <c r="D59" s="99"/>
      <c r="E59" s="101">
        <v>5257</v>
      </c>
      <c r="F59" s="190"/>
      <c r="G59" s="190"/>
    </row>
    <row r="60" spans="1:7" s="302" customFormat="1" x14ac:dyDescent="0.2">
      <c r="A60" s="418" t="s">
        <v>324</v>
      </c>
      <c r="B60" s="423"/>
      <c r="C60" s="99"/>
      <c r="D60" s="99"/>
      <c r="E60" s="99"/>
      <c r="F60" s="190"/>
      <c r="G60" s="190"/>
    </row>
    <row r="61" spans="1:7" s="302" customFormat="1" x14ac:dyDescent="0.2">
      <c r="A61" s="418" t="s">
        <v>826</v>
      </c>
      <c r="B61" s="423"/>
      <c r="C61" s="99"/>
      <c r="D61" s="99"/>
      <c r="E61" s="99"/>
      <c r="F61" s="190"/>
      <c r="G61" s="190"/>
    </row>
    <row r="62" spans="1:7" s="286" customFormat="1" x14ac:dyDescent="0.2">
      <c r="A62" s="424" t="s">
        <v>531</v>
      </c>
      <c r="B62" s="300">
        <f t="shared" ref="B62:G62" si="2">SUM(B63:B69)</f>
        <v>195880</v>
      </c>
      <c r="C62" s="300">
        <f t="shared" si="2"/>
        <v>0</v>
      </c>
      <c r="D62" s="300">
        <f t="shared" si="2"/>
        <v>0</v>
      </c>
      <c r="E62" s="300">
        <f t="shared" si="2"/>
        <v>0</v>
      </c>
      <c r="F62" s="300">
        <f t="shared" si="2"/>
        <v>0</v>
      </c>
      <c r="G62" s="300">
        <f t="shared" si="2"/>
        <v>0</v>
      </c>
    </row>
    <row r="63" spans="1:7" s="302" customFormat="1" x14ac:dyDescent="0.2">
      <c r="A63" s="577" t="s">
        <v>827</v>
      </c>
      <c r="B63" s="423">
        <v>195880</v>
      </c>
      <c r="C63" s="101"/>
      <c r="D63" s="101"/>
      <c r="E63" s="101"/>
      <c r="F63" s="208"/>
      <c r="G63" s="208"/>
    </row>
    <row r="64" spans="1:7" s="302" customFormat="1" x14ac:dyDescent="0.2">
      <c r="A64" s="577" t="s">
        <v>325</v>
      </c>
      <c r="B64" s="423"/>
      <c r="C64" s="101"/>
      <c r="D64" s="101"/>
      <c r="E64" s="101"/>
      <c r="F64" s="208"/>
      <c r="G64" s="208"/>
    </row>
    <row r="65" spans="1:7" s="302" customFormat="1" x14ac:dyDescent="0.2">
      <c r="A65" s="577" t="s">
        <v>326</v>
      </c>
      <c r="B65" s="423"/>
      <c r="C65" s="101"/>
      <c r="D65" s="101"/>
      <c r="E65" s="101"/>
      <c r="F65" s="208"/>
      <c r="G65" s="208"/>
    </row>
    <row r="66" spans="1:7" s="302" customFormat="1" x14ac:dyDescent="0.2">
      <c r="A66" s="139" t="s">
        <v>486</v>
      </c>
      <c r="B66" s="423"/>
      <c r="C66" s="101"/>
      <c r="D66" s="101"/>
      <c r="E66" s="101"/>
      <c r="F66" s="208"/>
      <c r="G66" s="208"/>
    </row>
    <row r="67" spans="1:7" s="302" customFormat="1" x14ac:dyDescent="0.2">
      <c r="A67" s="575" t="s">
        <v>663</v>
      </c>
      <c r="B67" s="423"/>
      <c r="C67" s="101"/>
      <c r="D67" s="101"/>
      <c r="E67" s="101"/>
      <c r="F67" s="208"/>
      <c r="G67" s="208"/>
    </row>
    <row r="68" spans="1:7" s="302" customFormat="1" x14ac:dyDescent="0.2">
      <c r="A68" s="575" t="s">
        <v>664</v>
      </c>
      <c r="B68" s="423"/>
      <c r="C68" s="101"/>
      <c r="D68" s="101"/>
      <c r="E68" s="101"/>
      <c r="F68" s="208"/>
      <c r="G68" s="208"/>
    </row>
    <row r="69" spans="1:7" s="302" customFormat="1" x14ac:dyDescent="0.2">
      <c r="A69" s="418" t="s">
        <v>324</v>
      </c>
      <c r="B69" s="423"/>
      <c r="C69" s="101"/>
      <c r="D69" s="101"/>
      <c r="E69" s="101"/>
      <c r="F69" s="208"/>
      <c r="G69" s="208"/>
    </row>
    <row r="70" spans="1:7" s="302" customFormat="1" x14ac:dyDescent="0.2">
      <c r="A70" s="576" t="s">
        <v>196</v>
      </c>
      <c r="B70" s="421">
        <f t="shared" ref="B70:G70" si="3">SUM(B52:B53,-B62)</f>
        <v>0</v>
      </c>
      <c r="C70" s="190">
        <f t="shared" si="3"/>
        <v>0</v>
      </c>
      <c r="D70" s="190">
        <f t="shared" si="3"/>
        <v>0</v>
      </c>
      <c r="E70" s="190">
        <f t="shared" si="3"/>
        <v>44422</v>
      </c>
      <c r="F70" s="190">
        <f t="shared" si="3"/>
        <v>0</v>
      </c>
      <c r="G70" s="190">
        <f t="shared" si="3"/>
        <v>0</v>
      </c>
    </row>
    <row r="71" spans="1:7" s="302" customFormat="1" x14ac:dyDescent="0.2">
      <c r="A71" s="122"/>
      <c r="B71" s="456"/>
      <c r="C71" s="456"/>
      <c r="D71" s="456"/>
      <c r="E71" s="456"/>
      <c r="F71" s="456"/>
      <c r="G71" s="456"/>
    </row>
    <row r="72" spans="1:7" s="302" customFormat="1" x14ac:dyDescent="0.25"/>
    <row r="73" spans="1:7" s="302" customFormat="1" ht="61.2" x14ac:dyDescent="0.25">
      <c r="A73" s="92" t="str">
        <f>'Dane podstawowe'!B12</f>
        <v>01.01.2015-31.12.2015</v>
      </c>
      <c r="B73" s="582" t="s">
        <v>428</v>
      </c>
      <c r="C73" s="92" t="s">
        <v>165</v>
      </c>
      <c r="D73" s="92" t="s">
        <v>424</v>
      </c>
      <c r="E73" s="92" t="s">
        <v>163</v>
      </c>
      <c r="F73" s="92" t="s">
        <v>162</v>
      </c>
      <c r="G73" s="92" t="s">
        <v>164</v>
      </c>
    </row>
    <row r="74" spans="1:7" s="302" customFormat="1" x14ac:dyDescent="0.2">
      <c r="A74" s="576" t="s">
        <v>528</v>
      </c>
      <c r="B74" s="190">
        <v>521914</v>
      </c>
      <c r="C74" s="190">
        <v>0</v>
      </c>
      <c r="D74" s="190">
        <v>0</v>
      </c>
      <c r="E74" s="190">
        <v>125267</v>
      </c>
      <c r="F74" s="190"/>
      <c r="G74" s="190"/>
    </row>
    <row r="75" spans="1:7" s="286" customFormat="1" x14ac:dyDescent="0.2">
      <c r="A75" s="422" t="s">
        <v>184</v>
      </c>
      <c r="B75" s="299">
        <f>SUM(B76:B83)</f>
        <v>129</v>
      </c>
      <c r="C75" s="299">
        <f t="shared" ref="C75:E75" si="4">SUM(C76:C83)</f>
        <v>0</v>
      </c>
      <c r="D75" s="299">
        <v>0</v>
      </c>
      <c r="E75" s="299">
        <f t="shared" si="4"/>
        <v>39165</v>
      </c>
      <c r="F75" s="299">
        <f t="shared" ref="F75:G75" si="5">SUM(F76:F82)</f>
        <v>0</v>
      </c>
      <c r="G75" s="299">
        <f t="shared" si="5"/>
        <v>0</v>
      </c>
    </row>
    <row r="76" spans="1:7" s="302" customFormat="1" x14ac:dyDescent="0.2">
      <c r="A76" s="577" t="s">
        <v>825</v>
      </c>
      <c r="B76" s="587">
        <v>129</v>
      </c>
      <c r="C76" s="193"/>
      <c r="D76" s="193">
        <v>0</v>
      </c>
      <c r="E76" s="193"/>
      <c r="F76" s="209"/>
      <c r="G76" s="209"/>
    </row>
    <row r="77" spans="1:7" s="302" customFormat="1" x14ac:dyDescent="0.2">
      <c r="A77" s="577" t="s">
        <v>529</v>
      </c>
      <c r="B77" s="423"/>
      <c r="C77" s="193"/>
      <c r="D77" s="193"/>
      <c r="E77" s="193">
        <v>39165</v>
      </c>
      <c r="F77" s="209"/>
      <c r="G77" s="209"/>
    </row>
    <row r="78" spans="1:7" s="302" customFormat="1" x14ac:dyDescent="0.2">
      <c r="A78" s="577" t="s">
        <v>530</v>
      </c>
      <c r="B78" s="587"/>
      <c r="C78" s="193"/>
      <c r="D78" s="193"/>
      <c r="E78" s="193"/>
      <c r="F78" s="209"/>
      <c r="G78" s="209"/>
    </row>
    <row r="79" spans="1:7" s="302" customFormat="1" x14ac:dyDescent="0.2">
      <c r="A79" s="575" t="s">
        <v>662</v>
      </c>
      <c r="B79" s="587"/>
      <c r="C79" s="193"/>
      <c r="D79" s="193"/>
      <c r="E79" s="193"/>
      <c r="F79" s="209"/>
      <c r="G79" s="209"/>
    </row>
    <row r="80" spans="1:7" s="302" customFormat="1" x14ac:dyDescent="0.2">
      <c r="A80" s="575" t="s">
        <v>663</v>
      </c>
      <c r="B80" s="587"/>
      <c r="C80" s="193"/>
      <c r="D80" s="193"/>
      <c r="E80" s="193"/>
      <c r="F80" s="209"/>
      <c r="G80" s="209"/>
    </row>
    <row r="81" spans="1:7" s="302" customFormat="1" x14ac:dyDescent="0.2">
      <c r="A81" s="575" t="s">
        <v>664</v>
      </c>
      <c r="B81" s="421"/>
      <c r="C81" s="99"/>
      <c r="D81" s="99"/>
      <c r="E81" s="99"/>
      <c r="F81" s="190"/>
      <c r="G81" s="190"/>
    </row>
    <row r="82" spans="1:7" s="302" customFormat="1" x14ac:dyDescent="0.2">
      <c r="A82" s="418" t="s">
        <v>324</v>
      </c>
      <c r="B82" s="423">
        <v>0</v>
      </c>
      <c r="C82" s="99"/>
      <c r="D82" s="99"/>
      <c r="E82" s="99"/>
      <c r="F82" s="190"/>
      <c r="G82" s="190"/>
    </row>
    <row r="83" spans="1:7" s="302" customFormat="1" hidden="1" x14ac:dyDescent="0.2">
      <c r="A83" s="651" t="s">
        <v>826</v>
      </c>
      <c r="B83" s="423">
        <v>0</v>
      </c>
      <c r="C83" s="99"/>
      <c r="D83" s="99"/>
      <c r="E83" s="99"/>
      <c r="F83" s="190"/>
      <c r="G83" s="190"/>
    </row>
    <row r="84" spans="1:7" s="286" customFormat="1" x14ac:dyDescent="0.2">
      <c r="A84" s="424" t="s">
        <v>531</v>
      </c>
      <c r="B84" s="300">
        <f t="shared" ref="B84:G84" si="6">SUM(B85:B91)</f>
        <v>326163</v>
      </c>
      <c r="C84" s="300">
        <f t="shared" si="6"/>
        <v>0</v>
      </c>
      <c r="D84" s="300">
        <f t="shared" si="6"/>
        <v>0</v>
      </c>
      <c r="E84" s="300">
        <f t="shared" si="6"/>
        <v>125267</v>
      </c>
      <c r="F84" s="300">
        <f t="shared" si="6"/>
        <v>0</v>
      </c>
      <c r="G84" s="300">
        <f t="shared" si="6"/>
        <v>0</v>
      </c>
    </row>
    <row r="85" spans="1:7" s="302" customFormat="1" x14ac:dyDescent="0.2">
      <c r="A85" s="577" t="s">
        <v>827</v>
      </c>
      <c r="B85" s="423"/>
      <c r="C85" s="101"/>
      <c r="D85" s="101"/>
      <c r="E85" s="101"/>
      <c r="F85" s="208"/>
      <c r="G85" s="208"/>
    </row>
    <row r="86" spans="1:7" s="302" customFormat="1" x14ac:dyDescent="0.2">
      <c r="A86" s="577" t="s">
        <v>325</v>
      </c>
      <c r="B86" s="423"/>
      <c r="C86" s="101"/>
      <c r="D86" s="101"/>
      <c r="E86" s="101">
        <v>125267</v>
      </c>
      <c r="F86" s="208"/>
      <c r="G86" s="208"/>
    </row>
    <row r="87" spans="1:7" s="302" customFormat="1" x14ac:dyDescent="0.2">
      <c r="A87" s="577" t="s">
        <v>326</v>
      </c>
      <c r="B87" s="423"/>
      <c r="C87" s="101"/>
      <c r="D87" s="101"/>
      <c r="E87" s="101"/>
      <c r="F87" s="208"/>
      <c r="G87" s="208"/>
    </row>
    <row r="88" spans="1:7" s="302" customFormat="1" x14ac:dyDescent="0.2">
      <c r="A88" s="139" t="s">
        <v>486</v>
      </c>
      <c r="B88" s="423">
        <v>229649</v>
      </c>
      <c r="C88" s="101"/>
      <c r="D88" s="101">
        <v>0</v>
      </c>
      <c r="E88" s="101"/>
      <c r="F88" s="208"/>
      <c r="G88" s="208"/>
    </row>
    <row r="89" spans="1:7" s="302" customFormat="1" x14ac:dyDescent="0.2">
      <c r="A89" s="575" t="s">
        <v>663</v>
      </c>
      <c r="B89" s="423"/>
      <c r="C89" s="101"/>
      <c r="D89" s="101"/>
      <c r="E89" s="101"/>
      <c r="F89" s="208"/>
      <c r="G89" s="208"/>
    </row>
    <row r="90" spans="1:7" s="302" customFormat="1" x14ac:dyDescent="0.2">
      <c r="A90" s="575" t="s">
        <v>664</v>
      </c>
      <c r="B90" s="423"/>
      <c r="C90" s="101"/>
      <c r="D90" s="101"/>
      <c r="E90" s="101"/>
      <c r="F90" s="208"/>
      <c r="G90" s="208"/>
    </row>
    <row r="91" spans="1:7" s="302" customFormat="1" x14ac:dyDescent="0.2">
      <c r="A91" s="418" t="s">
        <v>324</v>
      </c>
      <c r="B91" s="423">
        <v>96514</v>
      </c>
      <c r="C91" s="101"/>
      <c r="D91" s="101"/>
      <c r="E91" s="101"/>
      <c r="F91" s="208"/>
      <c r="G91" s="208"/>
    </row>
    <row r="92" spans="1:7" s="302" customFormat="1" x14ac:dyDescent="0.2">
      <c r="A92" s="576" t="s">
        <v>196</v>
      </c>
      <c r="B92" s="421">
        <f t="shared" ref="B92:G92" si="7">SUM(B74:B75,-B84)</f>
        <v>195880</v>
      </c>
      <c r="C92" s="190">
        <f t="shared" si="7"/>
        <v>0</v>
      </c>
      <c r="D92" s="190">
        <f t="shared" si="7"/>
        <v>0</v>
      </c>
      <c r="E92" s="190">
        <f t="shared" si="7"/>
        <v>39165</v>
      </c>
      <c r="F92" s="190">
        <f t="shared" si="7"/>
        <v>0</v>
      </c>
      <c r="G92" s="190">
        <f t="shared" si="7"/>
        <v>0</v>
      </c>
    </row>
    <row r="93" spans="1:7" s="302" customFormat="1" x14ac:dyDescent="0.25">
      <c r="B93" s="475"/>
      <c r="C93" s="475"/>
      <c r="D93" s="475"/>
      <c r="E93" s="475"/>
      <c r="F93" s="475"/>
      <c r="G93" s="475"/>
    </row>
    <row r="94" spans="1:7" s="478" customFormat="1" x14ac:dyDescent="0.25">
      <c r="A94" s="480"/>
      <c r="F94" s="416"/>
      <c r="G94" s="417"/>
    </row>
  </sheetData>
  <mergeCells count="7">
    <mergeCell ref="A26:C26"/>
    <mergeCell ref="C40:C41"/>
    <mergeCell ref="G40:G41"/>
    <mergeCell ref="A40:A41"/>
    <mergeCell ref="B40:B41"/>
    <mergeCell ref="F40:F41"/>
    <mergeCell ref="D40:E40"/>
  </mergeCells>
  <phoneticPr fontId="2" type="noConversion"/>
  <pageMargins left="0.75" right="0.75" top="1" bottom="1" header="0.5" footer="0.5"/>
  <pageSetup paperSize="9" scale="63" orientation="portrait" r:id="rId1"/>
  <headerFooter alignWithMargins="0"/>
  <rowBreaks count="1" manualBreakCount="1">
    <brk id="2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theme="0"/>
  </sheetPr>
  <dimension ref="A1:N114"/>
  <sheetViews>
    <sheetView showGridLines="0" view="pageBreakPreview" topLeftCell="A86" zoomScaleNormal="100" zoomScaleSheetLayoutView="100" workbookViewId="0">
      <selection activeCell="Q47" sqref="Q47"/>
    </sheetView>
  </sheetViews>
  <sheetFormatPr defaultColWidth="9.109375" defaultRowHeight="13.2" x14ac:dyDescent="0.25"/>
  <cols>
    <col min="1" max="1" width="38.109375" style="45" customWidth="1"/>
    <col min="2" max="2" width="12.109375" style="45" customWidth="1"/>
    <col min="3" max="3" width="13.44140625" style="45" customWidth="1"/>
    <col min="4" max="5" width="8.88671875" style="45" customWidth="1"/>
    <col min="6" max="7" width="8.6640625" style="45" customWidth="1"/>
    <col min="8" max="8" width="9.109375" style="45" customWidth="1"/>
    <col min="9" max="12" width="12.33203125" style="45" customWidth="1"/>
    <col min="13" max="16384" width="9.109375" style="45"/>
  </cols>
  <sheetData>
    <row r="1" spans="1:14" x14ac:dyDescent="0.25">
      <c r="A1" s="70"/>
    </row>
    <row r="2" spans="1:14" s="56" customFormat="1" x14ac:dyDescent="0.25">
      <c r="A2" s="534" t="s">
        <v>976</v>
      </c>
      <c r="B2" s="534"/>
      <c r="C2" s="534"/>
      <c r="D2" s="534"/>
      <c r="E2" s="534"/>
      <c r="F2" s="534"/>
      <c r="G2" s="534"/>
      <c r="H2" s="534"/>
      <c r="I2" s="534"/>
      <c r="J2" s="534"/>
    </row>
    <row r="3" spans="1:14" s="56" customFormat="1" ht="10.199999999999999" x14ac:dyDescent="0.2">
      <c r="B3" s="771"/>
      <c r="C3" s="771"/>
      <c r="D3" s="771"/>
      <c r="E3" s="771"/>
      <c r="F3" s="771"/>
      <c r="G3" s="771"/>
      <c r="H3" s="771"/>
    </row>
    <row r="4" spans="1:14" s="56" customFormat="1" ht="10.199999999999999" x14ac:dyDescent="0.2">
      <c r="A4" s="685" t="s">
        <v>416</v>
      </c>
      <c r="B4" s="623">
        <f>'[7]Dane podstawowe'!$B$9</f>
        <v>42735</v>
      </c>
      <c r="C4" s="623">
        <f>'[7]Dane podstawowe'!$B$14</f>
        <v>42369</v>
      </c>
      <c r="D4" s="692"/>
      <c r="E4" s="692"/>
      <c r="F4" s="692"/>
      <c r="G4" s="692"/>
    </row>
    <row r="5" spans="1:14" s="56" customFormat="1" ht="10.199999999999999" x14ac:dyDescent="0.2">
      <c r="A5" s="72" t="s">
        <v>638</v>
      </c>
      <c r="B5" s="116">
        <f>SUM(B6:B7)</f>
        <v>9726311.8900000006</v>
      </c>
      <c r="C5" s="116">
        <f>SUM(C6:C7)</f>
        <v>8514630.2599999998</v>
      </c>
      <c r="D5" s="214"/>
      <c r="E5" s="214"/>
      <c r="F5" s="214"/>
      <c r="G5" s="214"/>
    </row>
    <row r="6" spans="1:14" s="56" customFormat="1" ht="10.199999999999999" x14ac:dyDescent="0.2">
      <c r="A6" s="154" t="s">
        <v>111</v>
      </c>
      <c r="B6" s="258">
        <v>0</v>
      </c>
      <c r="C6" s="258">
        <v>0</v>
      </c>
      <c r="D6" s="493"/>
      <c r="E6" s="493"/>
      <c r="F6" s="493"/>
      <c r="G6" s="493"/>
    </row>
    <row r="7" spans="1:14" s="56" customFormat="1" ht="10.199999999999999" x14ac:dyDescent="0.2">
      <c r="A7" s="150" t="s">
        <v>112</v>
      </c>
      <c r="B7" s="258">
        <f>10201275.8-474963.91</f>
        <v>9726311.8900000006</v>
      </c>
      <c r="C7" s="258">
        <v>8514630.2599999998</v>
      </c>
      <c r="D7" s="493"/>
      <c r="E7" s="493"/>
      <c r="F7" s="493"/>
      <c r="G7" s="493"/>
    </row>
    <row r="8" spans="1:14" s="56" customFormat="1" ht="10.199999999999999" x14ac:dyDescent="0.2">
      <c r="A8" s="71" t="s">
        <v>235</v>
      </c>
      <c r="B8" s="258">
        <f>1121577+474964</f>
        <v>1596541</v>
      </c>
      <c r="C8" s="258">
        <v>950642</v>
      </c>
      <c r="D8" s="493"/>
      <c r="E8" s="493"/>
      <c r="F8" s="493"/>
      <c r="G8" s="493"/>
    </row>
    <row r="9" spans="1:14" s="56" customFormat="1" ht="10.199999999999999" x14ac:dyDescent="0.2">
      <c r="A9" s="72" t="s">
        <v>110</v>
      </c>
      <c r="B9" s="116">
        <f>B5+B8</f>
        <v>11322852.890000001</v>
      </c>
      <c r="C9" s="116">
        <f>C5+C8</f>
        <v>9465272.2599999998</v>
      </c>
      <c r="D9" s="214"/>
      <c r="E9" s="214"/>
      <c r="F9" s="214"/>
      <c r="G9" s="214"/>
    </row>
    <row r="10" spans="1:14" s="56" customFormat="1" ht="10.199999999999999" x14ac:dyDescent="0.2">
      <c r="A10" s="13"/>
      <c r="B10" s="404">
        <f>Aktywa!D17-B5</f>
        <v>0</v>
      </c>
      <c r="C10" s="404">
        <f>Aktywa!E17-C5</f>
        <v>-0.25999999977648258</v>
      </c>
      <c r="D10" s="404"/>
      <c r="E10" s="404"/>
      <c r="F10" s="404"/>
      <c r="G10" s="404"/>
    </row>
    <row r="11" spans="1:14" s="56" customFormat="1" ht="10.199999999999999" x14ac:dyDescent="0.2">
      <c r="B11" s="493"/>
      <c r="C11" s="493"/>
      <c r="D11" s="493"/>
      <c r="E11" s="493"/>
      <c r="F11" s="493"/>
      <c r="G11" s="493"/>
    </row>
    <row r="12" spans="1:14" s="56" customFormat="1" ht="10.199999999999999" x14ac:dyDescent="0.2">
      <c r="A12" s="779" t="s">
        <v>241</v>
      </c>
      <c r="B12" s="779"/>
      <c r="C12" s="779"/>
      <c r="D12" s="779"/>
      <c r="E12" s="779"/>
      <c r="F12" s="779"/>
      <c r="G12" s="779"/>
      <c r="H12" s="779"/>
      <c r="I12" s="779"/>
      <c r="J12" s="779"/>
      <c r="K12" s="779"/>
      <c r="L12" s="151"/>
      <c r="M12" s="151"/>
      <c r="N12" s="151"/>
    </row>
    <row r="13" spans="1:14" s="56" customFormat="1" ht="10.199999999999999" x14ac:dyDescent="0.2">
      <c r="B13" s="771"/>
      <c r="C13" s="771"/>
      <c r="D13" s="771"/>
      <c r="E13" s="771"/>
      <c r="F13" s="771"/>
      <c r="G13" s="771"/>
      <c r="H13" s="771"/>
    </row>
    <row r="14" spans="1:14" s="56" customFormat="1" ht="10.199999999999999" x14ac:dyDescent="0.2">
      <c r="A14" s="685" t="s">
        <v>416</v>
      </c>
      <c r="B14" s="623">
        <f>'[7]Dane podstawowe'!$B$9</f>
        <v>42735</v>
      </c>
      <c r="C14" s="623">
        <f>'[7]Dane podstawowe'!$B$14</f>
        <v>42369</v>
      </c>
      <c r="D14" s="692"/>
      <c r="E14" s="692"/>
      <c r="F14" s="692"/>
      <c r="G14" s="692"/>
    </row>
    <row r="15" spans="1:14" s="302" customFormat="1" ht="10.199999999999999" x14ac:dyDescent="0.2">
      <c r="A15" s="632" t="s">
        <v>294</v>
      </c>
      <c r="B15" s="633"/>
      <c r="C15" s="633"/>
      <c r="D15" s="693"/>
      <c r="E15" s="693"/>
      <c r="F15" s="693"/>
      <c r="G15" s="693"/>
      <c r="H15" s="56"/>
    </row>
    <row r="16" spans="1:14" s="302" customFormat="1" ht="20.399999999999999" x14ac:dyDescent="0.25">
      <c r="A16" s="686" t="s">
        <v>639</v>
      </c>
      <c r="B16" s="155">
        <v>0</v>
      </c>
      <c r="C16" s="155">
        <v>0</v>
      </c>
      <c r="D16" s="554"/>
      <c r="E16" s="554"/>
      <c r="F16" s="554"/>
      <c r="G16" s="554"/>
    </row>
    <row r="17" spans="1:8" s="286" customFormat="1" ht="10.199999999999999" x14ac:dyDescent="0.25">
      <c r="A17" s="284" t="s">
        <v>121</v>
      </c>
      <c r="B17" s="285">
        <f>SUM(B18:B22)</f>
        <v>0</v>
      </c>
      <c r="C17" s="285">
        <f>SUM(C18:C22)</f>
        <v>0</v>
      </c>
      <c r="D17" s="694"/>
      <c r="E17" s="694"/>
      <c r="F17" s="694"/>
      <c r="G17" s="694"/>
    </row>
    <row r="18" spans="1:8" s="302" customFormat="1" ht="20.399999999999999" x14ac:dyDescent="0.25">
      <c r="A18" s="283" t="s">
        <v>239</v>
      </c>
      <c r="B18" s="641">
        <v>0</v>
      </c>
      <c r="C18" s="641">
        <v>0</v>
      </c>
      <c r="D18" s="475"/>
      <c r="E18" s="475"/>
      <c r="F18" s="475"/>
      <c r="G18" s="475"/>
    </row>
    <row r="19" spans="1:8" s="302" customFormat="1" ht="10.199999999999999" x14ac:dyDescent="0.25">
      <c r="A19" s="283" t="s">
        <v>240</v>
      </c>
      <c r="B19" s="641"/>
      <c r="C19" s="641"/>
      <c r="D19" s="475"/>
      <c r="E19" s="475"/>
      <c r="F19" s="475"/>
      <c r="G19" s="475"/>
    </row>
    <row r="20" spans="1:8" s="302" customFormat="1" ht="10.199999999999999" hidden="1" x14ac:dyDescent="0.25">
      <c r="A20" s="484" t="s">
        <v>346</v>
      </c>
      <c r="B20" s="641"/>
      <c r="C20" s="641"/>
      <c r="D20" s="475"/>
      <c r="E20" s="475"/>
      <c r="F20" s="475"/>
      <c r="G20" s="475"/>
    </row>
    <row r="21" spans="1:8" s="302" customFormat="1" ht="10.199999999999999" hidden="1" x14ac:dyDescent="0.25">
      <c r="A21" s="484" t="s">
        <v>346</v>
      </c>
      <c r="B21" s="641"/>
      <c r="C21" s="641"/>
      <c r="D21" s="475"/>
      <c r="E21" s="475"/>
      <c r="F21" s="475"/>
      <c r="G21" s="475"/>
    </row>
    <row r="22" spans="1:8" s="302" customFormat="1" ht="10.199999999999999" hidden="1" x14ac:dyDescent="0.25">
      <c r="A22" s="484" t="s">
        <v>346</v>
      </c>
      <c r="B22" s="641"/>
      <c r="C22" s="641"/>
      <c r="D22" s="475"/>
      <c r="E22" s="475"/>
      <c r="F22" s="475"/>
      <c r="G22" s="475"/>
    </row>
    <row r="23" spans="1:8" s="286" customFormat="1" ht="10.199999999999999" x14ac:dyDescent="0.25">
      <c r="A23" s="284" t="s">
        <v>114</v>
      </c>
      <c r="B23" s="285">
        <f>SUM(B24:B28)</f>
        <v>0</v>
      </c>
      <c r="C23" s="285">
        <f>SUM(C24:C28)</f>
        <v>0</v>
      </c>
      <c r="D23" s="694"/>
      <c r="E23" s="694"/>
      <c r="F23" s="694"/>
      <c r="G23" s="694"/>
    </row>
    <row r="24" spans="1:8" s="302" customFormat="1" ht="10.199999999999999" x14ac:dyDescent="0.25">
      <c r="A24" s="283" t="s">
        <v>236</v>
      </c>
      <c r="B24" s="641">
        <v>0</v>
      </c>
      <c r="C24" s="641">
        <v>0</v>
      </c>
      <c r="D24" s="475"/>
      <c r="E24" s="475"/>
      <c r="F24" s="475"/>
      <c r="G24" s="475"/>
    </row>
    <row r="25" spans="1:8" s="302" customFormat="1" ht="20.399999999999999" x14ac:dyDescent="0.25">
      <c r="A25" s="283" t="s">
        <v>237</v>
      </c>
      <c r="B25" s="641">
        <v>0</v>
      </c>
      <c r="C25" s="641">
        <v>0</v>
      </c>
      <c r="D25" s="475"/>
      <c r="E25" s="475"/>
      <c r="F25" s="475"/>
      <c r="G25" s="475"/>
    </row>
    <row r="26" spans="1:8" s="302" customFormat="1" ht="10.199999999999999" x14ac:dyDescent="0.25">
      <c r="A26" s="283" t="s">
        <v>238</v>
      </c>
      <c r="B26" s="641"/>
      <c r="C26" s="641"/>
      <c r="D26" s="475"/>
      <c r="E26" s="475"/>
      <c r="F26" s="475"/>
      <c r="G26" s="475"/>
    </row>
    <row r="27" spans="1:8" s="302" customFormat="1" ht="10.199999999999999" hidden="1" x14ac:dyDescent="0.25">
      <c r="A27" s="484" t="s">
        <v>346</v>
      </c>
      <c r="B27" s="485"/>
      <c r="C27" s="485"/>
      <c r="D27" s="475"/>
      <c r="E27" s="475"/>
      <c r="F27" s="475"/>
      <c r="G27" s="475"/>
    </row>
    <row r="28" spans="1:8" s="302" customFormat="1" ht="10.199999999999999" hidden="1" x14ac:dyDescent="0.25">
      <c r="A28" s="484" t="s">
        <v>346</v>
      </c>
      <c r="B28" s="485"/>
      <c r="C28" s="485"/>
      <c r="D28" s="475"/>
      <c r="E28" s="475"/>
      <c r="F28" s="475"/>
      <c r="G28" s="475"/>
    </row>
    <row r="29" spans="1:8" s="302" customFormat="1" ht="30.6" x14ac:dyDescent="0.2">
      <c r="A29" s="720" t="s">
        <v>295</v>
      </c>
      <c r="B29" s="155">
        <f>B16+B17-B23</f>
        <v>0</v>
      </c>
      <c r="C29" s="155">
        <f>C16+C17-C23</f>
        <v>0</v>
      </c>
      <c r="D29" s="554"/>
      <c r="E29" s="554"/>
      <c r="F29" s="554"/>
      <c r="G29" s="554"/>
      <c r="H29" s="56"/>
    </row>
    <row r="30" spans="1:8" s="302" customFormat="1" ht="10.199999999999999" x14ac:dyDescent="0.2">
      <c r="A30" s="628" t="s">
        <v>296</v>
      </c>
      <c r="B30" s="629"/>
      <c r="C30" s="629"/>
      <c r="D30" s="695"/>
      <c r="E30" s="695"/>
      <c r="F30" s="695"/>
      <c r="G30" s="695"/>
      <c r="H30" s="56"/>
    </row>
    <row r="31" spans="1:8" s="302" customFormat="1" ht="20.399999999999999" x14ac:dyDescent="0.2">
      <c r="A31" s="502" t="s">
        <v>639</v>
      </c>
      <c r="B31" s="503">
        <v>950642</v>
      </c>
      <c r="C31" s="503">
        <v>753716</v>
      </c>
      <c r="D31" s="696"/>
      <c r="E31" s="696"/>
      <c r="F31" s="696"/>
      <c r="G31" s="696"/>
      <c r="H31" s="56"/>
    </row>
    <row r="32" spans="1:8" s="286" customFormat="1" ht="10.199999999999999" x14ac:dyDescent="0.2">
      <c r="A32" s="504" t="s">
        <v>121</v>
      </c>
      <c r="B32" s="505">
        <f>SUM(B33:B37)</f>
        <v>745166.99</v>
      </c>
      <c r="C32" s="505">
        <f>SUM(C33:C37)</f>
        <v>245749</v>
      </c>
      <c r="D32" s="697"/>
      <c r="E32" s="697"/>
      <c r="F32" s="697"/>
      <c r="G32" s="697"/>
      <c r="H32" s="111"/>
    </row>
    <row r="33" spans="1:8" s="302" customFormat="1" ht="20.399999999999999" x14ac:dyDescent="0.2">
      <c r="A33" s="506" t="s">
        <v>239</v>
      </c>
      <c r="B33" s="507">
        <f>270203.08+474963.91</f>
        <v>745166.99</v>
      </c>
      <c r="C33" s="507">
        <v>245749</v>
      </c>
      <c r="D33" s="698"/>
      <c r="E33" s="698"/>
      <c r="F33" s="698"/>
      <c r="G33" s="698"/>
      <c r="H33" s="56"/>
    </row>
    <row r="34" spans="1:8" s="302" customFormat="1" ht="10.199999999999999" x14ac:dyDescent="0.2">
      <c r="A34" s="506" t="s">
        <v>240</v>
      </c>
      <c r="B34" s="507"/>
      <c r="C34" s="507"/>
      <c r="D34" s="698"/>
      <c r="E34" s="698"/>
      <c r="F34" s="698"/>
      <c r="G34" s="698"/>
      <c r="H34" s="56"/>
    </row>
    <row r="35" spans="1:8" s="302" customFormat="1" ht="10.199999999999999" hidden="1" x14ac:dyDescent="0.2">
      <c r="A35" s="506" t="s">
        <v>346</v>
      </c>
      <c r="B35" s="507"/>
      <c r="C35" s="507"/>
      <c r="D35" s="698"/>
      <c r="E35" s="698"/>
      <c r="F35" s="698"/>
      <c r="G35" s="698"/>
      <c r="H35" s="56"/>
    </row>
    <row r="36" spans="1:8" s="302" customFormat="1" ht="10.199999999999999" hidden="1" x14ac:dyDescent="0.2">
      <c r="A36" s="506" t="s">
        <v>346</v>
      </c>
      <c r="B36" s="507"/>
      <c r="C36" s="507"/>
      <c r="D36" s="698"/>
      <c r="E36" s="698"/>
      <c r="F36" s="698"/>
      <c r="G36" s="698"/>
      <c r="H36" s="56"/>
    </row>
    <row r="37" spans="1:8" s="302" customFormat="1" ht="10.199999999999999" hidden="1" x14ac:dyDescent="0.2">
      <c r="A37" s="506" t="s">
        <v>346</v>
      </c>
      <c r="B37" s="507"/>
      <c r="C37" s="507"/>
      <c r="D37" s="698"/>
      <c r="E37" s="698"/>
      <c r="F37" s="698"/>
      <c r="G37" s="698"/>
      <c r="H37" s="56"/>
    </row>
    <row r="38" spans="1:8" s="286" customFormat="1" ht="10.199999999999999" x14ac:dyDescent="0.2">
      <c r="A38" s="504" t="s">
        <v>114</v>
      </c>
      <c r="B38" s="505">
        <f>SUM(B39:B43)</f>
        <v>99267.85</v>
      </c>
      <c r="C38" s="505">
        <f>SUM(C39:C43)</f>
        <v>48822.6</v>
      </c>
      <c r="D38" s="697"/>
      <c r="E38" s="697"/>
      <c r="F38" s="697"/>
      <c r="G38" s="697"/>
      <c r="H38" s="111"/>
    </row>
    <row r="39" spans="1:8" s="302" customFormat="1" ht="10.199999999999999" x14ac:dyDescent="0.2">
      <c r="A39" s="506" t="s">
        <v>236</v>
      </c>
      <c r="B39" s="507">
        <v>32015</v>
      </c>
      <c r="C39" s="507">
        <f>20320+3381+1162</f>
        <v>24863</v>
      </c>
      <c r="D39" s="698"/>
      <c r="E39" s="698"/>
      <c r="F39" s="698"/>
      <c r="G39" s="698"/>
      <c r="H39" s="56"/>
    </row>
    <row r="40" spans="1:8" s="302" customFormat="1" ht="20.399999999999999" x14ac:dyDescent="0.2">
      <c r="A40" s="506" t="s">
        <v>237</v>
      </c>
      <c r="B40" s="507">
        <v>67252.850000000006</v>
      </c>
      <c r="C40" s="507">
        <f>9882+10405.8+3671.8</f>
        <v>23959.599999999999</v>
      </c>
      <c r="D40" s="698"/>
      <c r="E40" s="698"/>
      <c r="F40" s="698"/>
      <c r="G40" s="698"/>
      <c r="H40" s="56"/>
    </row>
    <row r="41" spans="1:8" s="302" customFormat="1" ht="10.199999999999999" x14ac:dyDescent="0.2">
      <c r="A41" s="506" t="s">
        <v>238</v>
      </c>
      <c r="B41" s="507"/>
      <c r="C41" s="507"/>
      <c r="D41" s="698"/>
      <c r="E41" s="698"/>
      <c r="F41" s="698"/>
      <c r="G41" s="698"/>
      <c r="H41" s="56"/>
    </row>
    <row r="42" spans="1:8" s="302" customFormat="1" ht="10.199999999999999" hidden="1" x14ac:dyDescent="0.2">
      <c r="A42" s="506" t="s">
        <v>346</v>
      </c>
      <c r="B42" s="508"/>
      <c r="C42" s="508"/>
      <c r="D42" s="698"/>
      <c r="E42" s="698"/>
      <c r="F42" s="698"/>
      <c r="G42" s="698"/>
      <c r="H42" s="56"/>
    </row>
    <row r="43" spans="1:8" s="302" customFormat="1" ht="10.199999999999999" hidden="1" x14ac:dyDescent="0.2">
      <c r="A43" s="506" t="s">
        <v>346</v>
      </c>
      <c r="B43" s="508"/>
      <c r="C43" s="508"/>
      <c r="D43" s="698"/>
      <c r="E43" s="698"/>
      <c r="F43" s="698"/>
      <c r="G43" s="698"/>
      <c r="H43" s="56"/>
    </row>
    <row r="44" spans="1:8" s="302" customFormat="1" ht="30.6" x14ac:dyDescent="0.2">
      <c r="A44" s="509" t="s">
        <v>297</v>
      </c>
      <c r="B44" s="510">
        <f>B31+B32-B38</f>
        <v>1596541.14</v>
      </c>
      <c r="C44" s="510">
        <f>C31+C32-C38</f>
        <v>950642.4</v>
      </c>
      <c r="D44" s="696"/>
      <c r="E44" s="696"/>
      <c r="F44" s="696"/>
      <c r="G44" s="696"/>
      <c r="H44" s="56"/>
    </row>
    <row r="45" spans="1:8" s="302" customFormat="1" ht="10.199999999999999" x14ac:dyDescent="0.2">
      <c r="A45" s="630"/>
      <c r="B45" s="631"/>
      <c r="C45" s="631"/>
      <c r="D45" s="699"/>
      <c r="E45" s="699"/>
      <c r="F45" s="699"/>
      <c r="G45" s="699"/>
      <c r="H45" s="56"/>
    </row>
    <row r="46" spans="1:8" s="302" customFormat="1" ht="20.399999999999999" x14ac:dyDescent="0.2">
      <c r="A46" s="486" t="s">
        <v>298</v>
      </c>
      <c r="B46" s="477">
        <f>B44+B29</f>
        <v>1596541.14</v>
      </c>
      <c r="C46" s="477">
        <f>C44+C29</f>
        <v>950642.4</v>
      </c>
      <c r="D46" s="554"/>
      <c r="E46" s="554"/>
      <c r="F46" s="554"/>
      <c r="G46" s="554"/>
      <c r="H46" s="56"/>
    </row>
    <row r="47" spans="1:8" s="56" customFormat="1" ht="10.199999999999999" x14ac:dyDescent="0.2">
      <c r="A47" s="152"/>
      <c r="B47" s="404">
        <f>B8-B46</f>
        <v>-0.13999999989755452</v>
      </c>
      <c r="C47" s="404">
        <f>C8-C46</f>
        <v>-0.40000000002328306</v>
      </c>
      <c r="D47" s="404"/>
      <c r="E47" s="404"/>
      <c r="F47" s="404"/>
      <c r="G47" s="404"/>
    </row>
    <row r="48" spans="1:8" s="56" customFormat="1" ht="10.199999999999999" x14ac:dyDescent="0.2">
      <c r="A48" s="152"/>
      <c r="B48" s="493"/>
      <c r="C48" s="493"/>
      <c r="D48" s="493"/>
      <c r="E48" s="493"/>
      <c r="F48" s="493"/>
      <c r="G48" s="493"/>
    </row>
    <row r="49" spans="1:14" s="56" customFormat="1" ht="20.399999999999999" x14ac:dyDescent="0.2">
      <c r="A49" s="688" t="s">
        <v>918</v>
      </c>
    </row>
    <row r="50" spans="1:14" s="56" customFormat="1" ht="10.199999999999999" x14ac:dyDescent="0.2">
      <c r="A50" s="777" t="s">
        <v>416</v>
      </c>
      <c r="B50" s="778" t="s">
        <v>26</v>
      </c>
      <c r="C50" s="775" t="s">
        <v>661</v>
      </c>
      <c r="D50" s="775" t="s">
        <v>906</v>
      </c>
      <c r="E50" s="775" t="s">
        <v>907</v>
      </c>
      <c r="F50" s="775" t="s">
        <v>293</v>
      </c>
      <c r="G50" s="775" t="s">
        <v>908</v>
      </c>
      <c r="H50" s="775" t="s">
        <v>919</v>
      </c>
    </row>
    <row r="51" spans="1:14" s="56" customFormat="1" ht="10.199999999999999" x14ac:dyDescent="0.2">
      <c r="A51" s="777"/>
      <c r="B51" s="778"/>
      <c r="C51" s="776"/>
      <c r="D51" s="776"/>
      <c r="E51" s="776"/>
      <c r="F51" s="776"/>
      <c r="G51" s="776"/>
      <c r="H51" s="776"/>
    </row>
    <row r="52" spans="1:14" s="56" customFormat="1" ht="10.199999999999999" x14ac:dyDescent="0.2">
      <c r="A52" s="700" t="s">
        <v>920</v>
      </c>
      <c r="B52" s="701"/>
      <c r="C52" s="701"/>
      <c r="D52" s="701"/>
      <c r="E52" s="701"/>
      <c r="F52" s="701"/>
      <c r="G52" s="701"/>
      <c r="H52" s="701"/>
    </row>
    <row r="53" spans="1:14" s="56" customFormat="1" ht="10.199999999999999" x14ac:dyDescent="0.2">
      <c r="A53" s="49" t="s">
        <v>921</v>
      </c>
      <c r="B53" s="157">
        <f>SUM(H53:H53)</f>
        <v>0</v>
      </c>
      <c r="C53" s="157">
        <v>0</v>
      </c>
      <c r="D53" s="157">
        <v>0</v>
      </c>
      <c r="E53" s="157">
        <v>0</v>
      </c>
      <c r="F53" s="157">
        <v>0</v>
      </c>
      <c r="G53" s="157">
        <v>0</v>
      </c>
      <c r="H53" s="158">
        <v>0</v>
      </c>
    </row>
    <row r="54" spans="1:14" s="56" customFormat="1" ht="10.199999999999999" x14ac:dyDescent="0.2">
      <c r="A54" s="49" t="s">
        <v>922</v>
      </c>
      <c r="B54" s="157"/>
      <c r="C54" s="157"/>
      <c r="D54" s="157"/>
      <c r="E54" s="157"/>
      <c r="F54" s="157"/>
      <c r="G54" s="157"/>
      <c r="H54" s="158"/>
    </row>
    <row r="55" spans="1:14" s="56" customFormat="1" ht="10.199999999999999" x14ac:dyDescent="0.2">
      <c r="A55" s="77" t="s">
        <v>923</v>
      </c>
      <c r="B55" s="157">
        <f>B53-B54</f>
        <v>0</v>
      </c>
      <c r="C55" s="157">
        <v>0</v>
      </c>
      <c r="D55" s="157">
        <v>0</v>
      </c>
      <c r="E55" s="157">
        <v>0</v>
      </c>
      <c r="F55" s="157">
        <v>0</v>
      </c>
      <c r="G55" s="157">
        <v>0</v>
      </c>
      <c r="H55" s="157">
        <f>H53-H54</f>
        <v>0</v>
      </c>
    </row>
    <row r="56" spans="1:14" s="700" customFormat="1" ht="10.199999999999999" x14ac:dyDescent="0.2">
      <c r="A56" s="702" t="s">
        <v>296</v>
      </c>
      <c r="B56" s="703"/>
      <c r="C56" s="703"/>
      <c r="D56" s="703"/>
      <c r="E56" s="703"/>
      <c r="F56" s="703"/>
      <c r="G56" s="703"/>
      <c r="H56" s="703"/>
      <c r="I56" s="703"/>
      <c r="J56" s="703"/>
      <c r="K56" s="703"/>
      <c r="L56" s="703"/>
      <c r="M56" s="703"/>
      <c r="N56" s="703"/>
    </row>
    <row r="57" spans="1:14" s="56" customFormat="1" ht="10.199999999999999" x14ac:dyDescent="0.2">
      <c r="A57" s="49" t="s">
        <v>921</v>
      </c>
      <c r="B57" s="157">
        <f>SUM(C57:H57)</f>
        <v>11322852.76</v>
      </c>
      <c r="C57" s="157">
        <v>3917403.62</v>
      </c>
      <c r="D57" s="157">
        <v>3716462</v>
      </c>
      <c r="E57" s="157">
        <v>1657755.48</v>
      </c>
      <c r="F57" s="157">
        <v>361237.97</v>
      </c>
      <c r="G57" s="157">
        <f>151359.77</f>
        <v>151359.76999999999</v>
      </c>
      <c r="H57" s="157">
        <v>1518633.92</v>
      </c>
    </row>
    <row r="58" spans="1:14" s="56" customFormat="1" ht="10.199999999999999" x14ac:dyDescent="0.2">
      <c r="A58" s="49" t="s">
        <v>922</v>
      </c>
      <c r="B58" s="157">
        <f>SUM(C58:H58)</f>
        <v>1596541.26</v>
      </c>
      <c r="C58" s="157">
        <v>0</v>
      </c>
      <c r="D58" s="157">
        <v>0</v>
      </c>
      <c r="E58" s="157">
        <v>0</v>
      </c>
      <c r="F58" s="157">
        <v>63158.71</v>
      </c>
      <c r="G58" s="157">
        <v>117964.13</v>
      </c>
      <c r="H58" s="157">
        <f>940453.51+474964.91</f>
        <v>1415418.42</v>
      </c>
    </row>
    <row r="59" spans="1:14" s="56" customFormat="1" ht="10.199999999999999" x14ac:dyDescent="0.2">
      <c r="A59" s="77" t="s">
        <v>923</v>
      </c>
      <c r="B59" s="157">
        <f>SUM(C59:H59)</f>
        <v>9726311.5</v>
      </c>
      <c r="C59" s="157">
        <f>C57-C58</f>
        <v>3917403.62</v>
      </c>
      <c r="D59" s="157">
        <f t="shared" ref="D59:H59" si="0">D57-D58</f>
        <v>3716462</v>
      </c>
      <c r="E59" s="157">
        <f t="shared" si="0"/>
        <v>1657755.48</v>
      </c>
      <c r="F59" s="157">
        <f t="shared" si="0"/>
        <v>298079.25999999995</v>
      </c>
      <c r="G59" s="157">
        <f t="shared" si="0"/>
        <v>33395.639999999985</v>
      </c>
      <c r="H59" s="157">
        <f t="shared" si="0"/>
        <v>103215.5</v>
      </c>
    </row>
    <row r="60" spans="1:14" s="56" customFormat="1" ht="10.199999999999999" x14ac:dyDescent="0.2">
      <c r="A60" s="700" t="s">
        <v>491</v>
      </c>
      <c r="B60" s="701"/>
      <c r="C60" s="701"/>
      <c r="D60" s="701"/>
      <c r="E60" s="701"/>
      <c r="F60" s="701"/>
      <c r="G60" s="701"/>
      <c r="H60" s="701"/>
    </row>
    <row r="61" spans="1:14" s="56" customFormat="1" ht="10.199999999999999" x14ac:dyDescent="0.2">
      <c r="A61" s="49" t="s">
        <v>921</v>
      </c>
      <c r="B61" s="157">
        <f t="shared" ref="B61:H63" si="1">B53+B57</f>
        <v>11322852.76</v>
      </c>
      <c r="C61" s="157">
        <f t="shared" si="1"/>
        <v>3917403.62</v>
      </c>
      <c r="D61" s="157">
        <f t="shared" si="1"/>
        <v>3716462</v>
      </c>
      <c r="E61" s="157">
        <f t="shared" si="1"/>
        <v>1657755.48</v>
      </c>
      <c r="F61" s="157">
        <f t="shared" si="1"/>
        <v>361237.97</v>
      </c>
      <c r="G61" s="157">
        <f t="shared" si="1"/>
        <v>151359.76999999999</v>
      </c>
      <c r="H61" s="157">
        <f t="shared" si="1"/>
        <v>1518633.92</v>
      </c>
    </row>
    <row r="62" spans="1:14" s="56" customFormat="1" ht="10.199999999999999" x14ac:dyDescent="0.2">
      <c r="A62" s="49" t="s">
        <v>922</v>
      </c>
      <c r="B62" s="157">
        <f t="shared" si="1"/>
        <v>1596541.26</v>
      </c>
      <c r="C62" s="157">
        <f t="shared" si="1"/>
        <v>0</v>
      </c>
      <c r="D62" s="157">
        <f t="shared" si="1"/>
        <v>0</v>
      </c>
      <c r="E62" s="157">
        <f t="shared" si="1"/>
        <v>0</v>
      </c>
      <c r="F62" s="157">
        <f t="shared" si="1"/>
        <v>63158.71</v>
      </c>
      <c r="G62" s="157">
        <f>G54+G58</f>
        <v>117964.13</v>
      </c>
      <c r="H62" s="157">
        <f t="shared" si="1"/>
        <v>1415418.42</v>
      </c>
    </row>
    <row r="63" spans="1:14" s="56" customFormat="1" ht="10.199999999999999" x14ac:dyDescent="0.2">
      <c r="A63" s="77" t="s">
        <v>923</v>
      </c>
      <c r="B63" s="157">
        <f t="shared" si="1"/>
        <v>9726311.5</v>
      </c>
      <c r="C63" s="157">
        <f t="shared" si="1"/>
        <v>3917403.62</v>
      </c>
      <c r="D63" s="157">
        <f t="shared" si="1"/>
        <v>3716462</v>
      </c>
      <c r="E63" s="157">
        <f t="shared" si="1"/>
        <v>1657755.48</v>
      </c>
      <c r="F63" s="157">
        <f t="shared" si="1"/>
        <v>298079.25999999995</v>
      </c>
      <c r="G63" s="157">
        <f t="shared" si="1"/>
        <v>33395.639999999985</v>
      </c>
      <c r="H63" s="157">
        <f t="shared" si="1"/>
        <v>103215.5</v>
      </c>
    </row>
    <row r="64" spans="1:14" s="56" customFormat="1" ht="10.199999999999999" x14ac:dyDescent="0.2">
      <c r="A64" s="644"/>
      <c r="B64" s="404">
        <f>Aktywa!D17</f>
        <v>9726311.8900000006</v>
      </c>
      <c r="C64" s="404"/>
      <c r="D64" s="404"/>
      <c r="E64" s="404"/>
      <c r="F64" s="404"/>
      <c r="G64" s="404"/>
      <c r="H64" s="644"/>
    </row>
    <row r="65" spans="1:14" s="56" customFormat="1" ht="10.199999999999999" x14ac:dyDescent="0.2">
      <c r="A65" s="644"/>
      <c r="B65" s="493"/>
      <c r="C65" s="493"/>
      <c r="D65" s="493"/>
      <c r="E65" s="493"/>
      <c r="F65" s="493"/>
      <c r="G65" s="493"/>
      <c r="H65" s="644"/>
    </row>
    <row r="66" spans="1:14" s="56" customFormat="1" ht="20.399999999999999" x14ac:dyDescent="0.2">
      <c r="A66" s="688" t="s">
        <v>924</v>
      </c>
    </row>
    <row r="67" spans="1:14" s="56" customFormat="1" ht="10.199999999999999" x14ac:dyDescent="0.2">
      <c r="A67" s="777" t="s">
        <v>416</v>
      </c>
      <c r="B67" s="778" t="s">
        <v>26</v>
      </c>
      <c r="C67" s="775" t="s">
        <v>661</v>
      </c>
      <c r="D67" s="775" t="s">
        <v>906</v>
      </c>
      <c r="E67" s="775" t="s">
        <v>907</v>
      </c>
      <c r="F67" s="775" t="s">
        <v>293</v>
      </c>
      <c r="G67" s="775" t="s">
        <v>908</v>
      </c>
      <c r="H67" s="775" t="s">
        <v>919</v>
      </c>
    </row>
    <row r="68" spans="1:14" s="56" customFormat="1" ht="10.199999999999999" x14ac:dyDescent="0.2">
      <c r="A68" s="777"/>
      <c r="B68" s="778"/>
      <c r="C68" s="776"/>
      <c r="D68" s="776"/>
      <c r="E68" s="776"/>
      <c r="F68" s="776"/>
      <c r="G68" s="776"/>
      <c r="H68" s="776"/>
    </row>
    <row r="69" spans="1:14" s="56" customFormat="1" ht="10.199999999999999" x14ac:dyDescent="0.2">
      <c r="A69" s="700" t="s">
        <v>920</v>
      </c>
      <c r="B69" s="701"/>
      <c r="C69" s="701"/>
      <c r="D69" s="701"/>
      <c r="E69" s="701"/>
      <c r="F69" s="701"/>
      <c r="G69" s="701"/>
      <c r="H69" s="701"/>
    </row>
    <row r="70" spans="1:14" s="56" customFormat="1" ht="10.199999999999999" x14ac:dyDescent="0.2">
      <c r="A70" s="49" t="s">
        <v>921</v>
      </c>
      <c r="B70" s="157">
        <f>SUM(H70:H70)</f>
        <v>0</v>
      </c>
      <c r="C70" s="157">
        <v>0</v>
      </c>
      <c r="D70" s="157">
        <v>0</v>
      </c>
      <c r="E70" s="157">
        <v>0</v>
      </c>
      <c r="F70" s="157">
        <v>0</v>
      </c>
      <c r="G70" s="157">
        <v>0</v>
      </c>
      <c r="H70" s="158">
        <v>0</v>
      </c>
    </row>
    <row r="71" spans="1:14" s="56" customFormat="1" ht="10.199999999999999" x14ac:dyDescent="0.2">
      <c r="A71" s="49" t="s">
        <v>922</v>
      </c>
      <c r="B71" s="157"/>
      <c r="C71" s="157"/>
      <c r="D71" s="157"/>
      <c r="E71" s="157"/>
      <c r="F71" s="157"/>
      <c r="G71" s="157"/>
      <c r="H71" s="158"/>
    </row>
    <row r="72" spans="1:14" s="56" customFormat="1" ht="10.199999999999999" x14ac:dyDescent="0.2">
      <c r="A72" s="77" t="s">
        <v>923</v>
      </c>
      <c r="B72" s="157">
        <f>B70-B71</f>
        <v>0</v>
      </c>
      <c r="C72" s="157">
        <v>0</v>
      </c>
      <c r="D72" s="157">
        <v>0</v>
      </c>
      <c r="E72" s="157">
        <v>0</v>
      </c>
      <c r="F72" s="157">
        <v>0</v>
      </c>
      <c r="G72" s="157">
        <v>0</v>
      </c>
      <c r="H72" s="157">
        <f>H70-H71</f>
        <v>0</v>
      </c>
    </row>
    <row r="73" spans="1:14" s="700" customFormat="1" ht="10.199999999999999" x14ac:dyDescent="0.2">
      <c r="A73" s="702" t="s">
        <v>296</v>
      </c>
      <c r="B73" s="703"/>
      <c r="C73" s="703"/>
      <c r="D73" s="703"/>
      <c r="E73" s="703"/>
      <c r="F73" s="703"/>
      <c r="G73" s="703"/>
      <c r="H73" s="703"/>
      <c r="I73" s="703"/>
      <c r="J73" s="703"/>
      <c r="K73" s="703"/>
      <c r="L73" s="703"/>
      <c r="M73" s="703"/>
      <c r="N73" s="703"/>
    </row>
    <row r="74" spans="1:14" s="56" customFormat="1" ht="10.199999999999999" x14ac:dyDescent="0.2">
      <c r="A74" s="49" t="s">
        <v>921</v>
      </c>
      <c r="B74" s="157">
        <f>SUM(C74:H74)</f>
        <v>9465272.120000001</v>
      </c>
      <c r="C74" s="157">
        <v>4230169</v>
      </c>
      <c r="D74" s="157">
        <v>2257372.1</v>
      </c>
      <c r="E74" s="157">
        <v>1312276.74</v>
      </c>
      <c r="F74" s="157">
        <v>214539.84</v>
      </c>
      <c r="G74" s="157">
        <v>141787.32</v>
      </c>
      <c r="H74" s="157">
        <v>1309127.1200000001</v>
      </c>
    </row>
    <row r="75" spans="1:14" s="56" customFormat="1" ht="10.199999999999999" x14ac:dyDescent="0.2">
      <c r="A75" s="49" t="s">
        <v>922</v>
      </c>
      <c r="B75" s="158">
        <f>SUM(C75:H75)</f>
        <v>950642.35</v>
      </c>
      <c r="C75" s="158">
        <v>0</v>
      </c>
      <c r="D75" s="158">
        <v>16770</v>
      </c>
      <c r="E75" s="158">
        <v>0</v>
      </c>
      <c r="F75" s="158">
        <v>62404.39</v>
      </c>
      <c r="G75" s="158">
        <v>125588.63</v>
      </c>
      <c r="H75" s="158">
        <v>745879.33</v>
      </c>
    </row>
    <row r="76" spans="1:14" s="56" customFormat="1" ht="10.199999999999999" x14ac:dyDescent="0.2">
      <c r="A76" s="77" t="s">
        <v>923</v>
      </c>
      <c r="B76" s="158">
        <f>SUM(C76:H76)</f>
        <v>8514629.7700000014</v>
      </c>
      <c r="C76" s="158">
        <f>C74-C75</f>
        <v>4230169</v>
      </c>
      <c r="D76" s="158">
        <f t="shared" ref="D76:H76" si="2">D74-D75</f>
        <v>2240602.1</v>
      </c>
      <c r="E76" s="158">
        <f t="shared" si="2"/>
        <v>1312276.74</v>
      </c>
      <c r="F76" s="158">
        <f t="shared" si="2"/>
        <v>152135.45000000001</v>
      </c>
      <c r="G76" s="158">
        <f t="shared" si="2"/>
        <v>16198.690000000002</v>
      </c>
      <c r="H76" s="158">
        <f t="shared" si="2"/>
        <v>563247.79000000015</v>
      </c>
    </row>
    <row r="77" spans="1:14" s="56" customFormat="1" ht="10.199999999999999" x14ac:dyDescent="0.2">
      <c r="A77" s="700" t="s">
        <v>491</v>
      </c>
      <c r="B77" s="701"/>
      <c r="C77" s="701"/>
      <c r="D77" s="701"/>
      <c r="E77" s="701"/>
      <c r="F77" s="701"/>
      <c r="G77" s="701"/>
      <c r="H77" s="701"/>
    </row>
    <row r="78" spans="1:14" s="56" customFormat="1" ht="10.199999999999999" x14ac:dyDescent="0.2">
      <c r="A78" s="49" t="s">
        <v>921</v>
      </c>
      <c r="B78" s="157">
        <f t="shared" ref="B78:H80" si="3">B70+B74</f>
        <v>9465272.120000001</v>
      </c>
      <c r="C78" s="157">
        <f t="shared" si="3"/>
        <v>4230169</v>
      </c>
      <c r="D78" s="157">
        <f t="shared" si="3"/>
        <v>2257372.1</v>
      </c>
      <c r="E78" s="157">
        <f t="shared" si="3"/>
        <v>1312276.74</v>
      </c>
      <c r="F78" s="157">
        <f t="shared" si="3"/>
        <v>214539.84</v>
      </c>
      <c r="G78" s="157">
        <f t="shared" si="3"/>
        <v>141787.32</v>
      </c>
      <c r="H78" s="157">
        <f t="shared" si="3"/>
        <v>1309127.1200000001</v>
      </c>
    </row>
    <row r="79" spans="1:14" s="56" customFormat="1" ht="10.199999999999999" x14ac:dyDescent="0.2">
      <c r="A79" s="49" t="s">
        <v>922</v>
      </c>
      <c r="B79" s="158">
        <f t="shared" si="3"/>
        <v>950642.35</v>
      </c>
      <c r="C79" s="158">
        <f t="shared" si="3"/>
        <v>0</v>
      </c>
      <c r="D79" s="158">
        <f t="shared" si="3"/>
        <v>16770</v>
      </c>
      <c r="E79" s="158">
        <f t="shared" si="3"/>
        <v>0</v>
      </c>
      <c r="F79" s="158">
        <f t="shared" si="3"/>
        <v>62404.39</v>
      </c>
      <c r="G79" s="158">
        <f>G71+G75</f>
        <v>125588.63</v>
      </c>
      <c r="H79" s="158">
        <f t="shared" si="3"/>
        <v>745879.33</v>
      </c>
    </row>
    <row r="80" spans="1:14" s="56" customFormat="1" ht="10.199999999999999" x14ac:dyDescent="0.2">
      <c r="A80" s="77" t="s">
        <v>923</v>
      </c>
      <c r="B80" s="158">
        <f t="shared" si="3"/>
        <v>8514629.7700000014</v>
      </c>
      <c r="C80" s="158">
        <f t="shared" si="3"/>
        <v>4230169</v>
      </c>
      <c r="D80" s="158">
        <f t="shared" si="3"/>
        <v>2240602.1</v>
      </c>
      <c r="E80" s="158">
        <f t="shared" si="3"/>
        <v>1312276.74</v>
      </c>
      <c r="F80" s="158">
        <f t="shared" si="3"/>
        <v>152135.45000000001</v>
      </c>
      <c r="G80" s="158">
        <f t="shared" si="3"/>
        <v>16198.690000000002</v>
      </c>
      <c r="H80" s="158">
        <f t="shared" si="3"/>
        <v>563247.79000000015</v>
      </c>
    </row>
    <row r="81" spans="1:10" s="56" customFormat="1" ht="10.199999999999999" x14ac:dyDescent="0.2">
      <c r="A81" s="644"/>
      <c r="B81" s="404">
        <f>Aktywa!E17</f>
        <v>8514630</v>
      </c>
      <c r="C81" s="404"/>
      <c r="D81" s="404"/>
      <c r="E81" s="404"/>
      <c r="F81" s="404"/>
      <c r="G81" s="404"/>
      <c r="H81" s="644"/>
    </row>
    <row r="82" spans="1:10" s="56" customFormat="1" ht="10.199999999999999" x14ac:dyDescent="0.2">
      <c r="A82" s="152"/>
      <c r="B82" s="493"/>
      <c r="C82" s="493"/>
      <c r="D82" s="493"/>
      <c r="E82" s="493"/>
      <c r="F82" s="493"/>
      <c r="G82" s="493"/>
    </row>
    <row r="83" spans="1:10" s="56" customFormat="1" ht="10.199999999999999" customHeight="1" x14ac:dyDescent="0.2">
      <c r="A83" s="152"/>
    </row>
    <row r="84" spans="1:10" s="56" customFormat="1" ht="10.199999999999999" x14ac:dyDescent="0.2">
      <c r="A84" s="66" t="s">
        <v>640</v>
      </c>
      <c r="B84" s="493"/>
    </row>
    <row r="85" spans="1:10" s="56" customFormat="1" ht="10.199999999999999" x14ac:dyDescent="0.2"/>
    <row r="86" spans="1:10" s="56" customFormat="1" ht="10.199999999999999" x14ac:dyDescent="0.2">
      <c r="A86" s="687" t="s">
        <v>416</v>
      </c>
      <c r="B86" s="623">
        <f>'[7]Dane podstawowe'!$B$9</f>
        <v>42735</v>
      </c>
      <c r="C86" s="623">
        <f>'[7]Dane podstawowe'!$B$14</f>
        <v>42369</v>
      </c>
      <c r="D86" s="692"/>
      <c r="E86" s="692"/>
      <c r="F86" s="692"/>
      <c r="G86" s="692"/>
    </row>
    <row r="87" spans="1:10" s="302" customFormat="1" ht="20.399999999999999" x14ac:dyDescent="0.2">
      <c r="A87" s="129" t="s">
        <v>641</v>
      </c>
      <c r="B87" s="161">
        <f>1076857.86+84235.36+11070+113851.35+85737.2</f>
        <v>1371751.7700000003</v>
      </c>
      <c r="C87" s="161">
        <f>84235+114344+979432.02</f>
        <v>1178011.02</v>
      </c>
      <c r="D87" s="488"/>
      <c r="E87" s="488"/>
      <c r="F87" s="488"/>
      <c r="G87" s="488"/>
      <c r="H87" s="56"/>
    </row>
    <row r="88" spans="1:10" s="302" customFormat="1" ht="10.199999999999999" x14ac:dyDescent="0.2">
      <c r="A88" s="129" t="s">
        <v>485</v>
      </c>
      <c r="B88" s="704">
        <f>5535+113851.35+84235.36+1076857.86+85737.2</f>
        <v>1366216.77</v>
      </c>
      <c r="C88" s="704">
        <f>84235+114344+504468.11</f>
        <v>703047.11</v>
      </c>
      <c r="D88" s="705"/>
      <c r="E88" s="705"/>
      <c r="F88" s="705"/>
      <c r="G88" s="705"/>
      <c r="H88" s="56"/>
    </row>
    <row r="89" spans="1:10" s="302" customFormat="1" ht="20.399999999999999" x14ac:dyDescent="0.2">
      <c r="A89" s="686" t="s">
        <v>642</v>
      </c>
      <c r="B89" s="161">
        <f>B87-B88</f>
        <v>5535.0000000002328</v>
      </c>
      <c r="C89" s="161">
        <f>C87-C88</f>
        <v>474963.91000000003</v>
      </c>
      <c r="D89" s="488"/>
      <c r="E89" s="488"/>
      <c r="F89" s="488"/>
      <c r="G89" s="488"/>
      <c r="H89" s="56"/>
    </row>
    <row r="90" spans="1:10" x14ac:dyDescent="0.25">
      <c r="H90" s="56"/>
      <c r="I90" s="56"/>
    </row>
    <row r="91" spans="1:10" x14ac:dyDescent="0.25">
      <c r="A91" s="534" t="s">
        <v>977</v>
      </c>
      <c r="B91" s="534"/>
      <c r="C91" s="534"/>
      <c r="D91" s="534"/>
      <c r="E91" s="534"/>
      <c r="F91" s="534"/>
      <c r="G91" s="534"/>
      <c r="H91" s="534"/>
      <c r="I91" s="534"/>
      <c r="J91" s="534"/>
    </row>
    <row r="92" spans="1:10" x14ac:dyDescent="0.25">
      <c r="H92" s="56"/>
      <c r="I92" s="56"/>
    </row>
    <row r="93" spans="1:10" x14ac:dyDescent="0.25">
      <c r="A93" s="685" t="s">
        <v>416</v>
      </c>
      <c r="B93" s="623">
        <f>'[7]Dane podstawowe'!$B$9</f>
        <v>42735</v>
      </c>
      <c r="C93" s="623">
        <f>'[7]Dane podstawowe'!$B$14</f>
        <v>42369</v>
      </c>
      <c r="D93" s="692"/>
      <c r="E93" s="692"/>
      <c r="F93" s="692"/>
      <c r="G93" s="692"/>
      <c r="H93" s="56"/>
    </row>
    <row r="94" spans="1:10" x14ac:dyDescent="0.25">
      <c r="A94" s="72" t="s">
        <v>242</v>
      </c>
      <c r="B94" s="116">
        <f>SUM(B95:B103)</f>
        <v>1275660.56</v>
      </c>
      <c r="C94" s="116">
        <f>SUM(C95:C103)</f>
        <v>764744.84</v>
      </c>
      <c r="D94" s="214"/>
      <c r="E94" s="214"/>
      <c r="F94" s="214"/>
      <c r="G94" s="214"/>
      <c r="H94" s="56"/>
    </row>
    <row r="95" spans="1:10" ht="20.399999999999999" x14ac:dyDescent="0.25">
      <c r="A95" s="287" t="s">
        <v>223</v>
      </c>
      <c r="B95" s="258">
        <f>202248.22+377146.76+73.6+56.32+2700+48457.61+351.9+46081+123473.32+212450.8</f>
        <v>1013039.53</v>
      </c>
      <c r="C95" s="258">
        <f>253532+38184+18174+401674+344</f>
        <v>711908</v>
      </c>
      <c r="D95" s="493"/>
      <c r="E95" s="493"/>
      <c r="F95" s="493"/>
      <c r="G95" s="493"/>
      <c r="H95" s="56"/>
    </row>
    <row r="96" spans="1:10" x14ac:dyDescent="0.25">
      <c r="A96" s="287" t="s">
        <v>243</v>
      </c>
      <c r="B96" s="258"/>
      <c r="C96" s="258"/>
      <c r="D96" s="493"/>
      <c r="E96" s="493"/>
      <c r="F96" s="493"/>
      <c r="G96" s="493"/>
      <c r="H96" s="56"/>
    </row>
    <row r="97" spans="1:9" x14ac:dyDescent="0.25">
      <c r="A97" s="287" t="s">
        <v>244</v>
      </c>
      <c r="B97" s="258"/>
      <c r="C97" s="258"/>
      <c r="D97" s="493"/>
      <c r="E97" s="493"/>
      <c r="F97" s="493"/>
      <c r="G97" s="493"/>
      <c r="H97" s="56"/>
    </row>
    <row r="98" spans="1:9" x14ac:dyDescent="0.25">
      <c r="A98" s="287" t="s">
        <v>245</v>
      </c>
      <c r="B98" s="258"/>
      <c r="C98" s="258"/>
      <c r="D98" s="493"/>
      <c r="E98" s="493"/>
      <c r="F98" s="493"/>
      <c r="G98" s="493"/>
      <c r="H98" s="56"/>
    </row>
    <row r="99" spans="1:9" x14ac:dyDescent="0.25">
      <c r="A99" s="511" t="s">
        <v>299</v>
      </c>
      <c r="B99" s="258"/>
      <c r="C99" s="258"/>
      <c r="D99" s="493"/>
      <c r="E99" s="493"/>
      <c r="F99" s="493"/>
      <c r="G99" s="493"/>
      <c r="H99" s="56"/>
    </row>
    <row r="100" spans="1:9" hidden="1" x14ac:dyDescent="0.25">
      <c r="A100" s="487"/>
      <c r="B100" s="258"/>
      <c r="C100" s="258"/>
      <c r="D100" s="493"/>
      <c r="E100" s="493"/>
      <c r="F100" s="493"/>
      <c r="G100" s="493"/>
      <c r="H100" s="56"/>
    </row>
    <row r="101" spans="1:9" hidden="1" x14ac:dyDescent="0.25">
      <c r="A101" s="487" t="s">
        <v>346</v>
      </c>
      <c r="B101" s="258"/>
      <c r="C101" s="258"/>
      <c r="D101" s="493"/>
      <c r="E101" s="493"/>
      <c r="F101" s="493"/>
      <c r="G101" s="493"/>
      <c r="H101" s="56"/>
    </row>
    <row r="102" spans="1:9" hidden="1" x14ac:dyDescent="0.25">
      <c r="A102" s="487" t="s">
        <v>346</v>
      </c>
      <c r="B102" s="258"/>
      <c r="C102" s="258"/>
      <c r="D102" s="493"/>
      <c r="E102" s="493"/>
      <c r="F102" s="493"/>
      <c r="G102" s="493"/>
      <c r="H102" s="56"/>
    </row>
    <row r="103" spans="1:9" x14ac:dyDescent="0.25">
      <c r="A103" s="287" t="s">
        <v>637</v>
      </c>
      <c r="B103" s="258">
        <v>262621.03000000003</v>
      </c>
      <c r="C103" s="258">
        <f>50285+301.84+2250</f>
        <v>52836.84</v>
      </c>
      <c r="D103" s="493"/>
      <c r="E103" s="493"/>
      <c r="F103" s="493"/>
      <c r="G103" s="493"/>
      <c r="H103" s="56"/>
    </row>
    <row r="104" spans="1:9" x14ac:dyDescent="0.25">
      <c r="A104" s="71" t="s">
        <v>235</v>
      </c>
      <c r="B104" s="258"/>
      <c r="C104" s="258"/>
      <c r="D104" s="493"/>
      <c r="E104" s="493"/>
      <c r="F104" s="493"/>
      <c r="G104" s="493"/>
      <c r="H104" s="56"/>
    </row>
    <row r="105" spans="1:9" x14ac:dyDescent="0.25">
      <c r="A105" s="72" t="s">
        <v>113</v>
      </c>
      <c r="B105" s="116">
        <f>B104+B94</f>
        <v>1275660.56</v>
      </c>
      <c r="C105" s="116">
        <f>C104+C94</f>
        <v>764744.84</v>
      </c>
      <c r="D105" s="214"/>
      <c r="E105" s="214"/>
      <c r="F105" s="214"/>
      <c r="G105" s="214"/>
      <c r="H105" s="56"/>
    </row>
    <row r="106" spans="1:9" x14ac:dyDescent="0.25">
      <c r="B106" s="481">
        <f>[7]Aktywa!D19-'[7]NOTA 25,26 - Należności'!B94</f>
        <v>0.43999999994412065</v>
      </c>
      <c r="C106" s="481">
        <f>[7]Aktywa!E19-'[7]NOTA 25,26 - Należności'!C94</f>
        <v>0.16000000003259629</v>
      </c>
      <c r="D106" s="481"/>
      <c r="E106" s="481"/>
      <c r="F106" s="481"/>
      <c r="G106" s="481"/>
      <c r="H106" s="56"/>
    </row>
    <row r="107" spans="1:9" x14ac:dyDescent="0.25">
      <c r="B107" s="490"/>
      <c r="C107" s="490"/>
      <c r="D107" s="490"/>
      <c r="E107" s="490"/>
      <c r="F107" s="490"/>
      <c r="G107" s="490"/>
      <c r="H107" s="56"/>
      <c r="I107" s="56"/>
    </row>
    <row r="108" spans="1:9" x14ac:dyDescent="0.25">
      <c r="A108" s="685" t="s">
        <v>416</v>
      </c>
      <c r="B108" s="623">
        <f>'[7]Dane podstawowe'!$B$9</f>
        <v>42735</v>
      </c>
      <c r="C108" s="623">
        <f>'[7]Dane podstawowe'!$B$14</f>
        <v>42369</v>
      </c>
      <c r="D108" s="692"/>
      <c r="E108" s="692"/>
      <c r="F108" s="692"/>
      <c r="G108" s="692"/>
      <c r="H108" s="56"/>
    </row>
    <row r="109" spans="1:9" x14ac:dyDescent="0.25">
      <c r="A109" s="512" t="s">
        <v>242</v>
      </c>
      <c r="B109" s="116">
        <f>B105</f>
        <v>1275660.56</v>
      </c>
      <c r="C109" s="116">
        <f>C105</f>
        <v>764744.84</v>
      </c>
      <c r="D109" s="214"/>
      <c r="E109" s="214"/>
      <c r="F109" s="214"/>
      <c r="G109" s="214"/>
      <c r="H109" s="56"/>
    </row>
    <row r="110" spans="1:9" x14ac:dyDescent="0.25">
      <c r="A110" s="513" t="s">
        <v>300</v>
      </c>
      <c r="B110" s="258">
        <v>0</v>
      </c>
      <c r="C110" s="258">
        <v>0</v>
      </c>
      <c r="D110" s="493"/>
      <c r="E110" s="493"/>
      <c r="F110" s="493"/>
      <c r="G110" s="493"/>
      <c r="H110" s="56"/>
    </row>
    <row r="111" spans="1:9" x14ac:dyDescent="0.25">
      <c r="A111" s="513" t="s">
        <v>301</v>
      </c>
      <c r="B111" s="258">
        <f>B109</f>
        <v>1275660.56</v>
      </c>
      <c r="C111" s="258">
        <v>764745</v>
      </c>
      <c r="D111" s="493"/>
      <c r="E111" s="493"/>
      <c r="F111" s="493"/>
      <c r="G111" s="493"/>
      <c r="H111" s="56"/>
    </row>
    <row r="112" spans="1:9" x14ac:dyDescent="0.25">
      <c r="A112" s="514" t="s">
        <v>235</v>
      </c>
      <c r="B112" s="258"/>
      <c r="C112" s="258"/>
      <c r="D112" s="493"/>
      <c r="E112" s="493"/>
      <c r="F112" s="493"/>
      <c r="G112" s="493"/>
      <c r="H112" s="56"/>
    </row>
    <row r="113" spans="1:8" x14ac:dyDescent="0.25">
      <c r="A113" s="512" t="s">
        <v>113</v>
      </c>
      <c r="B113" s="116">
        <f>B112+B109</f>
        <v>1275660.56</v>
      </c>
      <c r="C113" s="116">
        <f>C112+C109</f>
        <v>764744.84</v>
      </c>
      <c r="D113" s="214"/>
      <c r="E113" s="214"/>
      <c r="F113" s="214"/>
      <c r="G113" s="214"/>
      <c r="H113" s="56"/>
    </row>
    <row r="114" spans="1:8" x14ac:dyDescent="0.25">
      <c r="B114" s="404">
        <f>[7]Aktywa!D19-B113</f>
        <v>0.43999999994412065</v>
      </c>
      <c r="C114" s="404">
        <f>[7]Aktywa!E19-'[7]NOTA 25,26 - Należności'!C109</f>
        <v>0.16000000003259629</v>
      </c>
      <c r="D114" s="404"/>
      <c r="E114" s="404"/>
      <c r="F114" s="404"/>
      <c r="G114" s="404"/>
    </row>
  </sheetData>
  <mergeCells count="19">
    <mergeCell ref="B3:H3"/>
    <mergeCell ref="A12:K12"/>
    <mergeCell ref="B13:H13"/>
    <mergeCell ref="F50:F51"/>
    <mergeCell ref="G50:G51"/>
    <mergeCell ref="H50:H51"/>
    <mergeCell ref="F67:F68"/>
    <mergeCell ref="G67:G68"/>
    <mergeCell ref="H67:H68"/>
    <mergeCell ref="A50:A51"/>
    <mergeCell ref="B50:B51"/>
    <mergeCell ref="C50:C51"/>
    <mergeCell ref="D50:D51"/>
    <mergeCell ref="E50:E51"/>
    <mergeCell ref="A67:A68"/>
    <mergeCell ref="B67:B68"/>
    <mergeCell ref="C67:C68"/>
    <mergeCell ref="D67:D68"/>
    <mergeCell ref="E67:E68"/>
  </mergeCells>
  <phoneticPr fontId="27" type="noConversion"/>
  <pageMargins left="0.75" right="0.75" top="1" bottom="1" header="0.5" footer="0.5"/>
  <pageSetup paperSize="9" orientation="landscape" r:id="rId1"/>
  <headerFooter alignWithMargins="0"/>
  <rowBreaks count="1" manualBreakCount="1">
    <brk id="54" max="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theme="0"/>
  </sheetPr>
  <dimension ref="A1:F13"/>
  <sheetViews>
    <sheetView showGridLines="0" view="pageBreakPreview" zoomScaleNormal="100" zoomScaleSheetLayoutView="100" workbookViewId="0">
      <selection activeCell="R39" sqref="R39"/>
    </sheetView>
  </sheetViews>
  <sheetFormatPr defaultColWidth="9.109375" defaultRowHeight="13.2" x14ac:dyDescent="0.25"/>
  <cols>
    <col min="1" max="1" width="54.88671875" style="45" customWidth="1"/>
    <col min="2" max="3" width="14.33203125" style="45" customWidth="1"/>
    <col min="4" max="4" width="13.33203125" style="45" customWidth="1"/>
    <col min="5" max="16384" width="9.109375" style="45"/>
  </cols>
  <sheetData>
    <row r="1" spans="1:6" x14ac:dyDescent="0.25">
      <c r="A1" s="70"/>
    </row>
    <row r="2" spans="1:6" s="3" customFormat="1" x14ac:dyDescent="0.25">
      <c r="A2" s="535" t="s">
        <v>978</v>
      </c>
      <c r="B2" s="534"/>
      <c r="C2" s="534"/>
      <c r="D2" s="534"/>
      <c r="E2" s="534"/>
      <c r="F2" s="534"/>
    </row>
    <row r="3" spans="1:6" s="3" customFormat="1" ht="10.199999999999999" x14ac:dyDescent="0.2">
      <c r="B3" s="771"/>
      <c r="C3" s="771"/>
    </row>
    <row r="4" spans="1:6" s="3" customFormat="1" ht="10.199999999999999" x14ac:dyDescent="0.2">
      <c r="A4" s="140" t="s">
        <v>416</v>
      </c>
      <c r="B4" s="623">
        <f>'Dane podstawowe'!$B$9</f>
        <v>42735</v>
      </c>
      <c r="C4" s="623">
        <f>'Dane podstawowe'!$B$14</f>
        <v>42369</v>
      </c>
    </row>
    <row r="5" spans="1:6" s="3" customFormat="1" ht="10.199999999999999" x14ac:dyDescent="0.2">
      <c r="A5" s="63" t="s">
        <v>877</v>
      </c>
      <c r="B5" s="106">
        <f>4322+1332</f>
        <v>5654</v>
      </c>
      <c r="C5" s="106">
        <f>13823+1777</f>
        <v>15600</v>
      </c>
    </row>
    <row r="6" spans="1:6" s="3" customFormat="1" ht="10.199999999999999" x14ac:dyDescent="0.2">
      <c r="A6" s="63" t="s">
        <v>878</v>
      </c>
      <c r="B6" s="106">
        <f>1050+7324+6630</f>
        <v>15004</v>
      </c>
      <c r="C6" s="106">
        <v>8739</v>
      </c>
    </row>
    <row r="7" spans="1:6" s="3" customFormat="1" ht="10.199999999999999" x14ac:dyDescent="0.2">
      <c r="A7" s="63" t="s">
        <v>524</v>
      </c>
      <c r="B7" s="106"/>
      <c r="C7" s="106"/>
    </row>
    <row r="8" spans="1:6" s="3" customFormat="1" ht="10.199999999999999" x14ac:dyDescent="0.2">
      <c r="A8" s="649" t="s">
        <v>783</v>
      </c>
      <c r="B8" s="106">
        <f>477277+88235</f>
        <v>565512</v>
      </c>
      <c r="C8" s="106">
        <f>110964+101046+162478+26492</f>
        <v>400980</v>
      </c>
    </row>
    <row r="9" spans="1:6" s="3" customFormat="1" ht="10.199999999999999" x14ac:dyDescent="0.2">
      <c r="A9" s="649" t="s">
        <v>784</v>
      </c>
      <c r="B9" s="106"/>
      <c r="C9" s="106"/>
    </row>
    <row r="10" spans="1:6" s="3" customFormat="1" ht="10.199999999999999" x14ac:dyDescent="0.2">
      <c r="A10" s="649" t="s">
        <v>789</v>
      </c>
      <c r="B10" s="106">
        <f>7808</f>
        <v>7808</v>
      </c>
      <c r="C10" s="106">
        <v>8096</v>
      </c>
    </row>
    <row r="11" spans="1:6" x14ac:dyDescent="0.25">
      <c r="A11" s="63" t="s">
        <v>246</v>
      </c>
      <c r="B11" s="258">
        <f>2720+355+17510+13687+1300+13846-6630</f>
        <v>42788</v>
      </c>
      <c r="C11" s="258">
        <f>18124+681+3076+3534+1925+1074+15605</f>
        <v>44019</v>
      </c>
    </row>
    <row r="12" spans="1:6" s="3" customFormat="1" ht="10.199999999999999" x14ac:dyDescent="0.2">
      <c r="A12" s="72" t="s">
        <v>225</v>
      </c>
      <c r="B12" s="116">
        <f>SUM(B5:B11)</f>
        <v>636766</v>
      </c>
      <c r="C12" s="116">
        <f>SUM(C5:C11)</f>
        <v>477434</v>
      </c>
    </row>
    <row r="13" spans="1:6" x14ac:dyDescent="0.25">
      <c r="B13" s="400">
        <f>Aktywa!D24-'NOTA 17 - RMK'!B12</f>
        <v>0</v>
      </c>
      <c r="C13" s="400">
        <f>Aktywa!E24-'NOTA 17 - RMK'!C12</f>
        <v>0</v>
      </c>
    </row>
  </sheetData>
  <mergeCells count="1">
    <mergeCell ref="B3:C3"/>
  </mergeCells>
  <phoneticPr fontId="29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theme="0"/>
  </sheetPr>
  <dimension ref="A1:I50"/>
  <sheetViews>
    <sheetView showGridLines="0" view="pageBreakPreview" zoomScaleNormal="100" zoomScaleSheetLayoutView="100" workbookViewId="0">
      <selection activeCell="E40" sqref="E40"/>
    </sheetView>
  </sheetViews>
  <sheetFormatPr defaultColWidth="9.109375" defaultRowHeight="13.2" x14ac:dyDescent="0.25"/>
  <cols>
    <col min="1" max="1" width="56.33203125" style="644" customWidth="1"/>
    <col min="2" max="2" width="15.5546875" style="644" customWidth="1"/>
    <col min="3" max="3" width="14.44140625" style="644" customWidth="1"/>
    <col min="4" max="4" width="13.109375" style="644" customWidth="1"/>
    <col min="5" max="6" width="9.109375" style="644"/>
    <col min="7" max="16384" width="9.109375" style="45"/>
  </cols>
  <sheetData>
    <row r="1" spans="1:9" x14ac:dyDescent="0.25">
      <c r="A1" s="70"/>
      <c r="B1" s="45"/>
      <c r="C1" s="45"/>
      <c r="D1" s="45"/>
      <c r="E1" s="45"/>
      <c r="F1" s="45"/>
    </row>
    <row r="2" spans="1:9" s="56" customFormat="1" x14ac:dyDescent="0.25">
      <c r="A2" s="535" t="s">
        <v>979</v>
      </c>
      <c r="B2" s="535"/>
      <c r="C2" s="535"/>
      <c r="D2" s="535"/>
      <c r="E2" s="535"/>
      <c r="F2" s="535"/>
    </row>
    <row r="3" spans="1:9" s="56" customFormat="1" ht="10.199999999999999" x14ac:dyDescent="0.2"/>
    <row r="4" spans="1:9" s="56" customFormat="1" ht="10.199999999999999" x14ac:dyDescent="0.2">
      <c r="A4" s="687" t="s">
        <v>416</v>
      </c>
      <c r="B4" s="623">
        <f>'[7]Dane podstawowe'!$B$9</f>
        <v>42735</v>
      </c>
      <c r="C4" s="623">
        <f>'[7]Dane podstawowe'!$B$14</f>
        <v>42369</v>
      </c>
      <c r="F4" s="118"/>
      <c r="G4" s="118"/>
      <c r="H4" s="118"/>
    </row>
    <row r="5" spans="1:9" s="56" customFormat="1" ht="10.199999999999999" x14ac:dyDescent="0.2">
      <c r="A5" s="114" t="s">
        <v>137</v>
      </c>
      <c r="B5" s="116">
        <f>SUM(B6:B36)</f>
        <v>1670645.3299999998</v>
      </c>
      <c r="C5" s="116">
        <f>SUM(C6:C36)</f>
        <v>781694.74000000011</v>
      </c>
      <c r="F5" s="118"/>
      <c r="G5" s="118"/>
      <c r="H5" s="118"/>
    </row>
    <row r="6" spans="1:9" s="56" customFormat="1" ht="10.199999999999999" x14ac:dyDescent="0.2">
      <c r="A6" s="113" t="s">
        <v>759</v>
      </c>
      <c r="B6" s="258">
        <v>13046.36</v>
      </c>
      <c r="C6" s="258">
        <v>5786.36</v>
      </c>
      <c r="G6" s="118"/>
      <c r="H6" s="118"/>
      <c r="I6" s="118"/>
    </row>
    <row r="7" spans="1:9" s="56" customFormat="1" ht="10.199999999999999" x14ac:dyDescent="0.2">
      <c r="A7" s="113" t="s">
        <v>760</v>
      </c>
      <c r="B7" s="258">
        <v>522.21</v>
      </c>
      <c r="C7" s="258">
        <v>412.46</v>
      </c>
      <c r="G7" s="118"/>
      <c r="H7" s="118"/>
      <c r="I7" s="118"/>
    </row>
    <row r="8" spans="1:9" s="56" customFormat="1" ht="10.199999999999999" x14ac:dyDescent="0.2">
      <c r="A8" s="113" t="s">
        <v>761</v>
      </c>
      <c r="B8" s="258">
        <v>283</v>
      </c>
      <c r="C8" s="258">
        <v>645.23</v>
      </c>
      <c r="G8" s="118"/>
      <c r="H8" s="118"/>
      <c r="I8" s="118"/>
    </row>
    <row r="9" spans="1:9" s="56" customFormat="1" ht="10.199999999999999" x14ac:dyDescent="0.2">
      <c r="A9" s="113" t="s">
        <v>925</v>
      </c>
      <c r="B9" s="258">
        <v>114.11</v>
      </c>
      <c r="C9" s="258">
        <v>0</v>
      </c>
      <c r="G9" s="118"/>
      <c r="H9" s="118"/>
      <c r="I9" s="118"/>
    </row>
    <row r="10" spans="1:9" s="56" customFormat="1" ht="10.199999999999999" x14ac:dyDescent="0.2">
      <c r="A10" s="113" t="s">
        <v>762</v>
      </c>
      <c r="B10" s="258">
        <v>7.17</v>
      </c>
      <c r="C10" s="258">
        <v>5.57</v>
      </c>
      <c r="D10" s="493"/>
      <c r="G10" s="118"/>
      <c r="H10" s="118"/>
      <c r="I10" s="118"/>
    </row>
    <row r="11" spans="1:9" s="56" customFormat="1" ht="10.199999999999999" x14ac:dyDescent="0.2">
      <c r="A11" s="113" t="s">
        <v>763</v>
      </c>
      <c r="B11" s="258">
        <v>23463.63</v>
      </c>
      <c r="C11" s="258">
        <v>25000</v>
      </c>
      <c r="G11" s="118"/>
      <c r="H11" s="118"/>
      <c r="I11" s="118"/>
    </row>
    <row r="12" spans="1:9" s="56" customFormat="1" ht="10.199999999999999" x14ac:dyDescent="0.2">
      <c r="A12" s="113" t="s">
        <v>764</v>
      </c>
      <c r="B12" s="258">
        <v>34332.47</v>
      </c>
      <c r="C12" s="258">
        <v>89816.9</v>
      </c>
      <c r="G12" s="118"/>
      <c r="H12" s="118"/>
      <c r="I12" s="118"/>
    </row>
    <row r="13" spans="1:9" s="56" customFormat="1" ht="10.199999999999999" x14ac:dyDescent="0.2">
      <c r="A13" s="113" t="s">
        <v>765</v>
      </c>
      <c r="B13" s="258">
        <v>39.29</v>
      </c>
      <c r="C13" s="258">
        <v>25.29</v>
      </c>
      <c r="G13" s="118"/>
      <c r="H13" s="118"/>
      <c r="I13" s="118"/>
    </row>
    <row r="14" spans="1:9" s="56" customFormat="1" ht="10.199999999999999" x14ac:dyDescent="0.2">
      <c r="A14" s="113" t="s">
        <v>763</v>
      </c>
      <c r="B14" s="258">
        <v>2438.13</v>
      </c>
      <c r="C14" s="258">
        <v>2438.13</v>
      </c>
      <c r="G14" s="118"/>
      <c r="H14" s="118"/>
      <c r="I14" s="118"/>
    </row>
    <row r="15" spans="1:9" s="56" customFormat="1" ht="10.199999999999999" x14ac:dyDescent="0.2">
      <c r="A15" s="113" t="s">
        <v>766</v>
      </c>
      <c r="B15" s="258">
        <v>20965.86</v>
      </c>
      <c r="C15" s="258">
        <v>12888.48</v>
      </c>
      <c r="G15" s="118"/>
      <c r="H15" s="118"/>
      <c r="I15" s="118"/>
    </row>
    <row r="16" spans="1:9" s="56" customFormat="1" ht="10.199999999999999" x14ac:dyDescent="0.2">
      <c r="A16" s="113" t="s">
        <v>767</v>
      </c>
      <c r="B16" s="258">
        <v>173.9</v>
      </c>
      <c r="C16" s="258">
        <v>162.32</v>
      </c>
      <c r="G16" s="118"/>
      <c r="H16" s="118"/>
      <c r="I16" s="118"/>
    </row>
    <row r="17" spans="1:9" s="56" customFormat="1" ht="10.199999999999999" x14ac:dyDescent="0.2">
      <c r="A17" s="113" t="s">
        <v>764</v>
      </c>
      <c r="B17" s="258">
        <v>126734.22</v>
      </c>
      <c r="C17" s="258">
        <v>31850.54</v>
      </c>
      <c r="G17" s="118"/>
      <c r="H17" s="118"/>
      <c r="I17" s="118"/>
    </row>
    <row r="18" spans="1:9" s="56" customFormat="1" ht="10.199999999999999" x14ac:dyDescent="0.2">
      <c r="A18" s="113" t="s">
        <v>768</v>
      </c>
      <c r="B18" s="258">
        <v>51555.35</v>
      </c>
      <c r="C18" s="258">
        <v>80707.17</v>
      </c>
      <c r="G18" s="118"/>
      <c r="H18" s="118"/>
      <c r="I18" s="118"/>
    </row>
    <row r="19" spans="1:9" s="56" customFormat="1" ht="10.199999999999999" x14ac:dyDescent="0.2">
      <c r="A19" s="113" t="s">
        <v>769</v>
      </c>
      <c r="B19" s="258">
        <v>1218.56</v>
      </c>
      <c r="C19" s="258">
        <v>16014.96</v>
      </c>
      <c r="G19" s="118"/>
      <c r="H19" s="118"/>
      <c r="I19" s="118"/>
    </row>
    <row r="20" spans="1:9" s="56" customFormat="1" ht="10.199999999999999" x14ac:dyDescent="0.2">
      <c r="A20" s="113" t="s">
        <v>770</v>
      </c>
      <c r="B20" s="258">
        <v>3990.86</v>
      </c>
      <c r="C20" s="258">
        <v>1096.95</v>
      </c>
      <c r="G20" s="118"/>
      <c r="H20" s="118"/>
      <c r="I20" s="118"/>
    </row>
    <row r="21" spans="1:9" s="56" customFormat="1" ht="10.199999999999999" x14ac:dyDescent="0.2">
      <c r="A21" s="113" t="s">
        <v>945</v>
      </c>
      <c r="B21" s="258">
        <v>8172.06</v>
      </c>
      <c r="C21" s="258">
        <v>12321.12</v>
      </c>
      <c r="G21" s="118"/>
      <c r="H21" s="118"/>
      <c r="I21" s="118"/>
    </row>
    <row r="22" spans="1:9" s="56" customFormat="1" ht="10.199999999999999" x14ac:dyDescent="0.2">
      <c r="A22" s="113" t="s">
        <v>771</v>
      </c>
      <c r="B22" s="258">
        <v>1096789.77</v>
      </c>
      <c r="C22" s="258">
        <v>67442.5</v>
      </c>
      <c r="G22" s="118"/>
      <c r="H22" s="118"/>
      <c r="I22" s="118"/>
    </row>
    <row r="23" spans="1:9" s="56" customFormat="1" ht="10.199999999999999" x14ac:dyDescent="0.2">
      <c r="A23" s="113" t="s">
        <v>772</v>
      </c>
      <c r="B23" s="258">
        <v>15224.01</v>
      </c>
      <c r="C23" s="258">
        <v>6535.86</v>
      </c>
      <c r="G23" s="118"/>
      <c r="H23" s="118"/>
      <c r="I23" s="118"/>
    </row>
    <row r="24" spans="1:9" s="56" customFormat="1" ht="10.199999999999999" x14ac:dyDescent="0.2">
      <c r="A24" s="113" t="s">
        <v>773</v>
      </c>
      <c r="B24" s="258">
        <v>157678.5</v>
      </c>
      <c r="C24" s="258">
        <v>54190.5</v>
      </c>
      <c r="G24" s="118"/>
      <c r="H24" s="118"/>
      <c r="I24" s="118"/>
    </row>
    <row r="25" spans="1:9" s="56" customFormat="1" ht="10.199999999999999" x14ac:dyDescent="0.2">
      <c r="A25" s="533" t="s">
        <v>774</v>
      </c>
      <c r="B25" s="258">
        <v>0</v>
      </c>
      <c r="C25" s="258">
        <v>0</v>
      </c>
      <c r="G25" s="118"/>
      <c r="H25" s="118"/>
      <c r="I25" s="118"/>
    </row>
    <row r="26" spans="1:9" s="56" customFormat="1" ht="10.199999999999999" x14ac:dyDescent="0.2">
      <c r="A26" s="113" t="s">
        <v>775</v>
      </c>
      <c r="B26" s="258">
        <v>3251.9</v>
      </c>
      <c r="C26" s="258">
        <v>4971.53</v>
      </c>
      <c r="G26" s="118"/>
      <c r="H26" s="118"/>
      <c r="I26" s="118"/>
    </row>
    <row r="27" spans="1:9" s="56" customFormat="1" ht="10.199999999999999" x14ac:dyDescent="0.2">
      <c r="A27" s="113" t="s">
        <v>943</v>
      </c>
      <c r="B27" s="258">
        <v>6116.91</v>
      </c>
      <c r="C27" s="258">
        <v>8156.91</v>
      </c>
      <c r="G27" s="118"/>
      <c r="H27" s="118"/>
      <c r="I27" s="118"/>
    </row>
    <row r="28" spans="1:9" s="56" customFormat="1" ht="10.199999999999999" x14ac:dyDescent="0.2">
      <c r="A28" s="113" t="s">
        <v>944</v>
      </c>
      <c r="B28" s="258">
        <v>0</v>
      </c>
      <c r="C28" s="258">
        <v>0</v>
      </c>
      <c r="G28" s="118"/>
      <c r="H28" s="118"/>
      <c r="I28" s="118"/>
    </row>
    <row r="29" spans="1:9" s="56" customFormat="1" ht="10.199999999999999" x14ac:dyDescent="0.2">
      <c r="A29" s="113" t="s">
        <v>776</v>
      </c>
      <c r="B29" s="258">
        <v>51798.87</v>
      </c>
      <c r="C29" s="258">
        <v>249383.82</v>
      </c>
      <c r="G29" s="118"/>
      <c r="H29" s="118"/>
      <c r="I29" s="118"/>
    </row>
    <row r="30" spans="1:9" s="56" customFormat="1" ht="12.75" customHeight="1" x14ac:dyDescent="0.2">
      <c r="A30" s="113" t="s">
        <v>777</v>
      </c>
      <c r="B30" s="258">
        <v>3856.79</v>
      </c>
      <c r="C30" s="258">
        <v>36421.370000000003</v>
      </c>
      <c r="G30" s="118"/>
      <c r="H30" s="118"/>
      <c r="I30" s="118"/>
    </row>
    <row r="31" spans="1:9" s="56" customFormat="1" ht="12.75" customHeight="1" x14ac:dyDescent="0.2">
      <c r="A31" s="113" t="s">
        <v>778</v>
      </c>
      <c r="B31" s="258">
        <v>2311.7600000000002</v>
      </c>
      <c r="C31" s="258">
        <v>1442.8</v>
      </c>
      <c r="G31" s="118"/>
      <c r="H31" s="118"/>
      <c r="I31" s="118"/>
    </row>
    <row r="32" spans="1:9" s="56" customFormat="1" ht="12.75" customHeight="1" x14ac:dyDescent="0.2">
      <c r="A32" s="113" t="s">
        <v>779</v>
      </c>
      <c r="B32" s="258">
        <v>36996.19</v>
      </c>
      <c r="C32" s="258">
        <v>71235.37</v>
      </c>
      <c r="G32" s="118"/>
      <c r="H32" s="118"/>
      <c r="I32" s="118"/>
    </row>
    <row r="33" spans="1:9" s="56" customFormat="1" ht="12.75" customHeight="1" x14ac:dyDescent="0.2">
      <c r="A33" s="113" t="s">
        <v>780</v>
      </c>
      <c r="B33" s="258">
        <v>7442.67</v>
      </c>
      <c r="C33" s="258">
        <v>681.33</v>
      </c>
      <c r="G33" s="118"/>
      <c r="H33" s="118"/>
      <c r="I33" s="118"/>
    </row>
    <row r="34" spans="1:9" s="56" customFormat="1" ht="12.75" customHeight="1" x14ac:dyDescent="0.2">
      <c r="A34" s="113" t="s">
        <v>926</v>
      </c>
      <c r="B34" s="258">
        <v>0</v>
      </c>
      <c r="C34" s="258">
        <v>0</v>
      </c>
      <c r="G34" s="118"/>
      <c r="H34" s="118"/>
      <c r="I34" s="118"/>
    </row>
    <row r="35" spans="1:9" s="56" customFormat="1" ht="12.75" customHeight="1" x14ac:dyDescent="0.2">
      <c r="A35" s="113" t="s">
        <v>781</v>
      </c>
      <c r="B35" s="258">
        <v>517.41</v>
      </c>
      <c r="C35" s="258">
        <v>449.55</v>
      </c>
      <c r="G35" s="118"/>
      <c r="H35" s="118"/>
      <c r="I35" s="118"/>
    </row>
    <row r="36" spans="1:9" s="56" customFormat="1" ht="12.75" customHeight="1" x14ac:dyDescent="0.2">
      <c r="A36" s="113" t="s">
        <v>782</v>
      </c>
      <c r="B36" s="258">
        <v>1603.37</v>
      </c>
      <c r="C36" s="258">
        <v>1611.72</v>
      </c>
      <c r="G36" s="118"/>
      <c r="H36" s="118"/>
      <c r="I36" s="118"/>
    </row>
    <row r="37" spans="1:9" s="56" customFormat="1" ht="12.75" customHeight="1" x14ac:dyDescent="0.2">
      <c r="A37" s="114" t="s">
        <v>141</v>
      </c>
      <c r="B37" s="116">
        <f>SUM(B38:B41)</f>
        <v>2553702.08</v>
      </c>
      <c r="C37" s="116">
        <f>SUM(C38:C41)</f>
        <v>2808689.0399999996</v>
      </c>
      <c r="F37" s="118"/>
      <c r="G37" s="118"/>
      <c r="H37" s="118"/>
    </row>
    <row r="38" spans="1:9" s="56" customFormat="1" ht="12.75" customHeight="1" x14ac:dyDescent="0.2">
      <c r="A38" s="113" t="s">
        <v>140</v>
      </c>
      <c r="B38" s="258">
        <f>16905.08</f>
        <v>16905.080000000002</v>
      </c>
      <c r="C38" s="258">
        <f>495.89+298.01</f>
        <v>793.9</v>
      </c>
      <c r="F38" s="118"/>
      <c r="G38" s="118"/>
      <c r="H38" s="118"/>
    </row>
    <row r="39" spans="1:9" s="56" customFormat="1" ht="12.75" customHeight="1" x14ac:dyDescent="0.2">
      <c r="A39" s="113" t="s">
        <v>138</v>
      </c>
      <c r="B39" s="258"/>
      <c r="C39" s="258"/>
      <c r="F39" s="118"/>
      <c r="G39" s="118"/>
      <c r="H39" s="118"/>
    </row>
    <row r="40" spans="1:9" s="56" customFormat="1" ht="10.199999999999999" x14ac:dyDescent="0.2">
      <c r="A40" s="113" t="s">
        <v>139</v>
      </c>
      <c r="B40" s="258">
        <v>2536797</v>
      </c>
      <c r="C40" s="258">
        <f>17174.22+1163581.95+1627138.97</f>
        <v>2807895.1399999997</v>
      </c>
      <c r="F40" s="118"/>
      <c r="G40" s="118"/>
      <c r="H40" s="118"/>
    </row>
    <row r="41" spans="1:9" s="56" customFormat="1" ht="10.199999999999999" x14ac:dyDescent="0.2">
      <c r="A41" s="113" t="s">
        <v>523</v>
      </c>
      <c r="B41" s="258"/>
      <c r="C41" s="258"/>
      <c r="F41" s="118"/>
      <c r="G41" s="118"/>
      <c r="H41" s="118"/>
    </row>
    <row r="42" spans="1:9" s="56" customFormat="1" ht="10.199999999999999" x14ac:dyDescent="0.2">
      <c r="A42" s="113"/>
      <c r="B42" s="258"/>
      <c r="C42" s="258"/>
      <c r="F42" s="118"/>
      <c r="G42" s="118"/>
      <c r="H42" s="118"/>
    </row>
    <row r="43" spans="1:9" s="56" customFormat="1" ht="10.199999999999999" x14ac:dyDescent="0.2">
      <c r="A43" s="114" t="s">
        <v>142</v>
      </c>
      <c r="B43" s="116">
        <f>SUM(B44:B46)</f>
        <v>0</v>
      </c>
      <c r="C43" s="116">
        <f>SUM(C44:C46)</f>
        <v>0</v>
      </c>
      <c r="F43" s="118"/>
      <c r="G43" s="118"/>
      <c r="H43" s="118"/>
    </row>
    <row r="44" spans="1:9" s="56" customFormat="1" ht="10.199999999999999" hidden="1" x14ac:dyDescent="0.2">
      <c r="A44" s="113" t="s">
        <v>521</v>
      </c>
      <c r="B44" s="258"/>
      <c r="C44" s="258"/>
      <c r="F44" s="118"/>
      <c r="G44" s="118"/>
      <c r="H44" s="118"/>
    </row>
    <row r="45" spans="1:9" s="56" customFormat="1" ht="10.199999999999999" hidden="1" x14ac:dyDescent="0.2">
      <c r="A45" s="113" t="s">
        <v>521</v>
      </c>
      <c r="B45" s="258"/>
      <c r="C45" s="258"/>
      <c r="F45" s="118"/>
      <c r="G45" s="118"/>
      <c r="H45" s="118"/>
    </row>
    <row r="46" spans="1:9" s="56" customFormat="1" ht="10.199999999999999" hidden="1" x14ac:dyDescent="0.2">
      <c r="A46" s="113"/>
      <c r="B46" s="258"/>
      <c r="C46" s="258"/>
      <c r="D46" s="706"/>
      <c r="E46" s="706"/>
      <c r="F46" s="118"/>
      <c r="G46" s="118"/>
      <c r="H46" s="118"/>
    </row>
    <row r="47" spans="1:9" s="56" customFormat="1" ht="10.199999999999999" x14ac:dyDescent="0.2">
      <c r="A47" s="114" t="s">
        <v>343</v>
      </c>
      <c r="B47" s="116"/>
      <c r="C47" s="116"/>
      <c r="D47" s="706"/>
      <c r="E47" s="706"/>
      <c r="F47" s="118"/>
      <c r="G47" s="118"/>
      <c r="H47" s="118"/>
    </row>
    <row r="48" spans="1:9" x14ac:dyDescent="0.25">
      <c r="A48" s="146" t="s">
        <v>26</v>
      </c>
      <c r="B48" s="116">
        <f>B5+B37+B43+B47</f>
        <v>4224347.41</v>
      </c>
      <c r="C48" s="116">
        <f>C5+C37+C43+C47</f>
        <v>3590383.78</v>
      </c>
      <c r="F48" s="45"/>
    </row>
    <row r="49" spans="1:6" x14ac:dyDescent="0.25">
      <c r="A49" s="66"/>
      <c r="B49" s="481">
        <f>Aktywa!D25-B48</f>
        <v>-0.41000000014901161</v>
      </c>
      <c r="C49" s="481">
        <f>Aktywa!E25-C48</f>
        <v>0.22000000020489097</v>
      </c>
      <c r="D49" s="490"/>
      <c r="F49" s="45"/>
    </row>
    <row r="50" spans="1:6" x14ac:dyDescent="0.25">
      <c r="F50" s="45"/>
    </row>
  </sheetData>
  <phoneticPr fontId="27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theme="0"/>
  </sheetPr>
  <dimension ref="B1:I136"/>
  <sheetViews>
    <sheetView showGridLines="0" view="pageBreakPreview" topLeftCell="A118" zoomScaleNormal="100" zoomScaleSheetLayoutView="85" workbookViewId="0">
      <selection activeCell="R40" sqref="R40"/>
    </sheetView>
  </sheetViews>
  <sheetFormatPr defaultRowHeight="10.199999999999999" x14ac:dyDescent="0.2"/>
  <cols>
    <col min="1" max="1" width="2.88671875" style="644" customWidth="1"/>
    <col min="2" max="2" width="35.5546875" style="644" customWidth="1"/>
    <col min="3" max="4" width="13.88671875" style="644" customWidth="1"/>
    <col min="5" max="5" width="11.5546875" style="644" customWidth="1"/>
    <col min="6" max="6" width="12.44140625" style="644" customWidth="1"/>
    <col min="7" max="7" width="12.109375" style="644" customWidth="1"/>
    <col min="8" max="9" width="12.6640625" style="644" customWidth="1"/>
    <col min="10" max="256" width="9.109375" style="644"/>
    <col min="257" max="257" width="2.88671875" style="644" customWidth="1"/>
    <col min="258" max="258" width="35.5546875" style="644" customWidth="1"/>
    <col min="259" max="260" width="13.88671875" style="644" customWidth="1"/>
    <col min="261" max="261" width="11.5546875" style="644" customWidth="1"/>
    <col min="262" max="262" width="12.44140625" style="644" customWidth="1"/>
    <col min="263" max="263" width="12.109375" style="644" customWidth="1"/>
    <col min="264" max="265" width="12.6640625" style="644" customWidth="1"/>
    <col min="266" max="512" width="9.109375" style="644"/>
    <col min="513" max="513" width="2.88671875" style="644" customWidth="1"/>
    <col min="514" max="514" width="35.5546875" style="644" customWidth="1"/>
    <col min="515" max="516" width="13.88671875" style="644" customWidth="1"/>
    <col min="517" max="517" width="11.5546875" style="644" customWidth="1"/>
    <col min="518" max="518" width="12.44140625" style="644" customWidth="1"/>
    <col min="519" max="519" width="12.109375" style="644" customWidth="1"/>
    <col min="520" max="521" width="12.6640625" style="644" customWidth="1"/>
    <col min="522" max="768" width="9.109375" style="644"/>
    <col min="769" max="769" width="2.88671875" style="644" customWidth="1"/>
    <col min="770" max="770" width="35.5546875" style="644" customWidth="1"/>
    <col min="771" max="772" width="13.88671875" style="644" customWidth="1"/>
    <col min="773" max="773" width="11.5546875" style="644" customWidth="1"/>
    <col min="774" max="774" width="12.44140625" style="644" customWidth="1"/>
    <col min="775" max="775" width="12.109375" style="644" customWidth="1"/>
    <col min="776" max="777" width="12.6640625" style="644" customWidth="1"/>
    <col min="778" max="1024" width="9.109375" style="644"/>
    <col min="1025" max="1025" width="2.88671875" style="644" customWidth="1"/>
    <col min="1026" max="1026" width="35.5546875" style="644" customWidth="1"/>
    <col min="1027" max="1028" width="13.88671875" style="644" customWidth="1"/>
    <col min="1029" max="1029" width="11.5546875" style="644" customWidth="1"/>
    <col min="1030" max="1030" width="12.44140625" style="644" customWidth="1"/>
    <col min="1031" max="1031" width="12.109375" style="644" customWidth="1"/>
    <col min="1032" max="1033" width="12.6640625" style="644" customWidth="1"/>
    <col min="1034" max="1280" width="9.109375" style="644"/>
    <col min="1281" max="1281" width="2.88671875" style="644" customWidth="1"/>
    <col min="1282" max="1282" width="35.5546875" style="644" customWidth="1"/>
    <col min="1283" max="1284" width="13.88671875" style="644" customWidth="1"/>
    <col min="1285" max="1285" width="11.5546875" style="644" customWidth="1"/>
    <col min="1286" max="1286" width="12.44140625" style="644" customWidth="1"/>
    <col min="1287" max="1287" width="12.109375" style="644" customWidth="1"/>
    <col min="1288" max="1289" width="12.6640625" style="644" customWidth="1"/>
    <col min="1290" max="1536" width="9.109375" style="644"/>
    <col min="1537" max="1537" width="2.88671875" style="644" customWidth="1"/>
    <col min="1538" max="1538" width="35.5546875" style="644" customWidth="1"/>
    <col min="1539" max="1540" width="13.88671875" style="644" customWidth="1"/>
    <col min="1541" max="1541" width="11.5546875" style="644" customWidth="1"/>
    <col min="1542" max="1542" width="12.44140625" style="644" customWidth="1"/>
    <col min="1543" max="1543" width="12.109375" style="644" customWidth="1"/>
    <col min="1544" max="1545" width="12.6640625" style="644" customWidth="1"/>
    <col min="1546" max="1792" width="9.109375" style="644"/>
    <col min="1793" max="1793" width="2.88671875" style="644" customWidth="1"/>
    <col min="1794" max="1794" width="35.5546875" style="644" customWidth="1"/>
    <col min="1795" max="1796" width="13.88671875" style="644" customWidth="1"/>
    <col min="1797" max="1797" width="11.5546875" style="644" customWidth="1"/>
    <col min="1798" max="1798" width="12.44140625" style="644" customWidth="1"/>
    <col min="1799" max="1799" width="12.109375" style="644" customWidth="1"/>
    <col min="1800" max="1801" width="12.6640625" style="644" customWidth="1"/>
    <col min="1802" max="2048" width="9.109375" style="644"/>
    <col min="2049" max="2049" width="2.88671875" style="644" customWidth="1"/>
    <col min="2050" max="2050" width="35.5546875" style="644" customWidth="1"/>
    <col min="2051" max="2052" width="13.88671875" style="644" customWidth="1"/>
    <col min="2053" max="2053" width="11.5546875" style="644" customWidth="1"/>
    <col min="2054" max="2054" width="12.44140625" style="644" customWidth="1"/>
    <col min="2055" max="2055" width="12.109375" style="644" customWidth="1"/>
    <col min="2056" max="2057" width="12.6640625" style="644" customWidth="1"/>
    <col min="2058" max="2304" width="9.109375" style="644"/>
    <col min="2305" max="2305" width="2.88671875" style="644" customWidth="1"/>
    <col min="2306" max="2306" width="35.5546875" style="644" customWidth="1"/>
    <col min="2307" max="2308" width="13.88671875" style="644" customWidth="1"/>
    <col min="2309" max="2309" width="11.5546875" style="644" customWidth="1"/>
    <col min="2310" max="2310" width="12.44140625" style="644" customWidth="1"/>
    <col min="2311" max="2311" width="12.109375" style="644" customWidth="1"/>
    <col min="2312" max="2313" width="12.6640625" style="644" customWidth="1"/>
    <col min="2314" max="2560" width="9.109375" style="644"/>
    <col min="2561" max="2561" width="2.88671875" style="644" customWidth="1"/>
    <col min="2562" max="2562" width="35.5546875" style="644" customWidth="1"/>
    <col min="2563" max="2564" width="13.88671875" style="644" customWidth="1"/>
    <col min="2565" max="2565" width="11.5546875" style="644" customWidth="1"/>
    <col min="2566" max="2566" width="12.44140625" style="644" customWidth="1"/>
    <col min="2567" max="2567" width="12.109375" style="644" customWidth="1"/>
    <col min="2568" max="2569" width="12.6640625" style="644" customWidth="1"/>
    <col min="2570" max="2816" width="9.109375" style="644"/>
    <col min="2817" max="2817" width="2.88671875" style="644" customWidth="1"/>
    <col min="2818" max="2818" width="35.5546875" style="644" customWidth="1"/>
    <col min="2819" max="2820" width="13.88671875" style="644" customWidth="1"/>
    <col min="2821" max="2821" width="11.5546875" style="644" customWidth="1"/>
    <col min="2822" max="2822" width="12.44140625" style="644" customWidth="1"/>
    <col min="2823" max="2823" width="12.109375" style="644" customWidth="1"/>
    <col min="2824" max="2825" width="12.6640625" style="644" customWidth="1"/>
    <col min="2826" max="3072" width="9.109375" style="644"/>
    <col min="3073" max="3073" width="2.88671875" style="644" customWidth="1"/>
    <col min="3074" max="3074" width="35.5546875" style="644" customWidth="1"/>
    <col min="3075" max="3076" width="13.88671875" style="644" customWidth="1"/>
    <col min="3077" max="3077" width="11.5546875" style="644" customWidth="1"/>
    <col min="3078" max="3078" width="12.44140625" style="644" customWidth="1"/>
    <col min="3079" max="3079" width="12.109375" style="644" customWidth="1"/>
    <col min="3080" max="3081" width="12.6640625" style="644" customWidth="1"/>
    <col min="3082" max="3328" width="9.109375" style="644"/>
    <col min="3329" max="3329" width="2.88671875" style="644" customWidth="1"/>
    <col min="3330" max="3330" width="35.5546875" style="644" customWidth="1"/>
    <col min="3331" max="3332" width="13.88671875" style="644" customWidth="1"/>
    <col min="3333" max="3333" width="11.5546875" style="644" customWidth="1"/>
    <col min="3334" max="3334" width="12.44140625" style="644" customWidth="1"/>
    <col min="3335" max="3335" width="12.109375" style="644" customWidth="1"/>
    <col min="3336" max="3337" width="12.6640625" style="644" customWidth="1"/>
    <col min="3338" max="3584" width="9.109375" style="644"/>
    <col min="3585" max="3585" width="2.88671875" style="644" customWidth="1"/>
    <col min="3586" max="3586" width="35.5546875" style="644" customWidth="1"/>
    <col min="3587" max="3588" width="13.88671875" style="644" customWidth="1"/>
    <col min="3589" max="3589" width="11.5546875" style="644" customWidth="1"/>
    <col min="3590" max="3590" width="12.44140625" style="644" customWidth="1"/>
    <col min="3591" max="3591" width="12.109375" style="644" customWidth="1"/>
    <col min="3592" max="3593" width="12.6640625" style="644" customWidth="1"/>
    <col min="3594" max="3840" width="9.109375" style="644"/>
    <col min="3841" max="3841" width="2.88671875" style="644" customWidth="1"/>
    <col min="3842" max="3842" width="35.5546875" style="644" customWidth="1"/>
    <col min="3843" max="3844" width="13.88671875" style="644" customWidth="1"/>
    <col min="3845" max="3845" width="11.5546875" style="644" customWidth="1"/>
    <col min="3846" max="3846" width="12.44140625" style="644" customWidth="1"/>
    <col min="3847" max="3847" width="12.109375" style="644" customWidth="1"/>
    <col min="3848" max="3849" width="12.6640625" style="644" customWidth="1"/>
    <col min="3850" max="4096" width="9.109375" style="644"/>
    <col min="4097" max="4097" width="2.88671875" style="644" customWidth="1"/>
    <col min="4098" max="4098" width="35.5546875" style="644" customWidth="1"/>
    <col min="4099" max="4100" width="13.88671875" style="644" customWidth="1"/>
    <col min="4101" max="4101" width="11.5546875" style="644" customWidth="1"/>
    <col min="4102" max="4102" width="12.44140625" style="644" customWidth="1"/>
    <col min="4103" max="4103" width="12.109375" style="644" customWidth="1"/>
    <col min="4104" max="4105" width="12.6640625" style="644" customWidth="1"/>
    <col min="4106" max="4352" width="9.109375" style="644"/>
    <col min="4353" max="4353" width="2.88671875" style="644" customWidth="1"/>
    <col min="4354" max="4354" width="35.5546875" style="644" customWidth="1"/>
    <col min="4355" max="4356" width="13.88671875" style="644" customWidth="1"/>
    <col min="4357" max="4357" width="11.5546875" style="644" customWidth="1"/>
    <col min="4358" max="4358" width="12.44140625" style="644" customWidth="1"/>
    <col min="4359" max="4359" width="12.109375" style="644" customWidth="1"/>
    <col min="4360" max="4361" width="12.6640625" style="644" customWidth="1"/>
    <col min="4362" max="4608" width="9.109375" style="644"/>
    <col min="4609" max="4609" width="2.88671875" style="644" customWidth="1"/>
    <col min="4610" max="4610" width="35.5546875" style="644" customWidth="1"/>
    <col min="4611" max="4612" width="13.88671875" style="644" customWidth="1"/>
    <col min="4613" max="4613" width="11.5546875" style="644" customWidth="1"/>
    <col min="4614" max="4614" width="12.44140625" style="644" customWidth="1"/>
    <col min="4615" max="4615" width="12.109375" style="644" customWidth="1"/>
    <col min="4616" max="4617" width="12.6640625" style="644" customWidth="1"/>
    <col min="4618" max="4864" width="9.109375" style="644"/>
    <col min="4865" max="4865" width="2.88671875" style="644" customWidth="1"/>
    <col min="4866" max="4866" width="35.5546875" style="644" customWidth="1"/>
    <col min="4867" max="4868" width="13.88671875" style="644" customWidth="1"/>
    <col min="4869" max="4869" width="11.5546875" style="644" customWidth="1"/>
    <col min="4870" max="4870" width="12.44140625" style="644" customWidth="1"/>
    <col min="4871" max="4871" width="12.109375" style="644" customWidth="1"/>
    <col min="4872" max="4873" width="12.6640625" style="644" customWidth="1"/>
    <col min="4874" max="5120" width="9.109375" style="644"/>
    <col min="5121" max="5121" width="2.88671875" style="644" customWidth="1"/>
    <col min="5122" max="5122" width="35.5546875" style="644" customWidth="1"/>
    <col min="5123" max="5124" width="13.88671875" style="644" customWidth="1"/>
    <col min="5125" max="5125" width="11.5546875" style="644" customWidth="1"/>
    <col min="5126" max="5126" width="12.44140625" style="644" customWidth="1"/>
    <col min="5127" max="5127" width="12.109375" style="644" customWidth="1"/>
    <col min="5128" max="5129" width="12.6640625" style="644" customWidth="1"/>
    <col min="5130" max="5376" width="9.109375" style="644"/>
    <col min="5377" max="5377" width="2.88671875" style="644" customWidth="1"/>
    <col min="5378" max="5378" width="35.5546875" style="644" customWidth="1"/>
    <col min="5379" max="5380" width="13.88671875" style="644" customWidth="1"/>
    <col min="5381" max="5381" width="11.5546875" style="644" customWidth="1"/>
    <col min="5382" max="5382" width="12.44140625" style="644" customWidth="1"/>
    <col min="5383" max="5383" width="12.109375" style="644" customWidth="1"/>
    <col min="5384" max="5385" width="12.6640625" style="644" customWidth="1"/>
    <col min="5386" max="5632" width="9.109375" style="644"/>
    <col min="5633" max="5633" width="2.88671875" style="644" customWidth="1"/>
    <col min="5634" max="5634" width="35.5546875" style="644" customWidth="1"/>
    <col min="5635" max="5636" width="13.88671875" style="644" customWidth="1"/>
    <col min="5637" max="5637" width="11.5546875" style="644" customWidth="1"/>
    <col min="5638" max="5638" width="12.44140625" style="644" customWidth="1"/>
    <col min="5639" max="5639" width="12.109375" style="644" customWidth="1"/>
    <col min="5640" max="5641" width="12.6640625" style="644" customWidth="1"/>
    <col min="5642" max="5888" width="9.109375" style="644"/>
    <col min="5889" max="5889" width="2.88671875" style="644" customWidth="1"/>
    <col min="5890" max="5890" width="35.5546875" style="644" customWidth="1"/>
    <col min="5891" max="5892" width="13.88671875" style="644" customWidth="1"/>
    <col min="5893" max="5893" width="11.5546875" style="644" customWidth="1"/>
    <col min="5894" max="5894" width="12.44140625" style="644" customWidth="1"/>
    <col min="5895" max="5895" width="12.109375" style="644" customWidth="1"/>
    <col min="5896" max="5897" width="12.6640625" style="644" customWidth="1"/>
    <col min="5898" max="6144" width="9.109375" style="644"/>
    <col min="6145" max="6145" width="2.88671875" style="644" customWidth="1"/>
    <col min="6146" max="6146" width="35.5546875" style="644" customWidth="1"/>
    <col min="6147" max="6148" width="13.88671875" style="644" customWidth="1"/>
    <col min="6149" max="6149" width="11.5546875" style="644" customWidth="1"/>
    <col min="6150" max="6150" width="12.44140625" style="644" customWidth="1"/>
    <col min="6151" max="6151" width="12.109375" style="644" customWidth="1"/>
    <col min="6152" max="6153" width="12.6640625" style="644" customWidth="1"/>
    <col min="6154" max="6400" width="9.109375" style="644"/>
    <col min="6401" max="6401" width="2.88671875" style="644" customWidth="1"/>
    <col min="6402" max="6402" width="35.5546875" style="644" customWidth="1"/>
    <col min="6403" max="6404" width="13.88671875" style="644" customWidth="1"/>
    <col min="6405" max="6405" width="11.5546875" style="644" customWidth="1"/>
    <col min="6406" max="6406" width="12.44140625" style="644" customWidth="1"/>
    <col min="6407" max="6407" width="12.109375" style="644" customWidth="1"/>
    <col min="6408" max="6409" width="12.6640625" style="644" customWidth="1"/>
    <col min="6410" max="6656" width="9.109375" style="644"/>
    <col min="6657" max="6657" width="2.88671875" style="644" customWidth="1"/>
    <col min="6658" max="6658" width="35.5546875" style="644" customWidth="1"/>
    <col min="6659" max="6660" width="13.88671875" style="644" customWidth="1"/>
    <col min="6661" max="6661" width="11.5546875" style="644" customWidth="1"/>
    <col min="6662" max="6662" width="12.44140625" style="644" customWidth="1"/>
    <col min="6663" max="6663" width="12.109375" style="644" customWidth="1"/>
    <col min="6664" max="6665" width="12.6640625" style="644" customWidth="1"/>
    <col min="6666" max="6912" width="9.109375" style="644"/>
    <col min="6913" max="6913" width="2.88671875" style="644" customWidth="1"/>
    <col min="6914" max="6914" width="35.5546875" style="644" customWidth="1"/>
    <col min="6915" max="6916" width="13.88671875" style="644" customWidth="1"/>
    <col min="6917" max="6917" width="11.5546875" style="644" customWidth="1"/>
    <col min="6918" max="6918" width="12.44140625" style="644" customWidth="1"/>
    <col min="6919" max="6919" width="12.109375" style="644" customWidth="1"/>
    <col min="6920" max="6921" width="12.6640625" style="644" customWidth="1"/>
    <col min="6922" max="7168" width="9.109375" style="644"/>
    <col min="7169" max="7169" width="2.88671875" style="644" customWidth="1"/>
    <col min="7170" max="7170" width="35.5546875" style="644" customWidth="1"/>
    <col min="7171" max="7172" width="13.88671875" style="644" customWidth="1"/>
    <col min="7173" max="7173" width="11.5546875" style="644" customWidth="1"/>
    <col min="7174" max="7174" width="12.44140625" style="644" customWidth="1"/>
    <col min="7175" max="7175" width="12.109375" style="644" customWidth="1"/>
    <col min="7176" max="7177" width="12.6640625" style="644" customWidth="1"/>
    <col min="7178" max="7424" width="9.109375" style="644"/>
    <col min="7425" max="7425" width="2.88671875" style="644" customWidth="1"/>
    <col min="7426" max="7426" width="35.5546875" style="644" customWidth="1"/>
    <col min="7427" max="7428" width="13.88671875" style="644" customWidth="1"/>
    <col min="7429" max="7429" width="11.5546875" style="644" customWidth="1"/>
    <col min="7430" max="7430" width="12.44140625" style="644" customWidth="1"/>
    <col min="7431" max="7431" width="12.109375" style="644" customWidth="1"/>
    <col min="7432" max="7433" width="12.6640625" style="644" customWidth="1"/>
    <col min="7434" max="7680" width="9.109375" style="644"/>
    <col min="7681" max="7681" width="2.88671875" style="644" customWidth="1"/>
    <col min="7682" max="7682" width="35.5546875" style="644" customWidth="1"/>
    <col min="7683" max="7684" width="13.88671875" style="644" customWidth="1"/>
    <col min="7685" max="7685" width="11.5546875" style="644" customWidth="1"/>
    <col min="7686" max="7686" width="12.44140625" style="644" customWidth="1"/>
    <col min="7687" max="7687" width="12.109375" style="644" customWidth="1"/>
    <col min="7688" max="7689" width="12.6640625" style="644" customWidth="1"/>
    <col min="7690" max="7936" width="9.109375" style="644"/>
    <col min="7937" max="7937" width="2.88671875" style="644" customWidth="1"/>
    <col min="7938" max="7938" width="35.5546875" style="644" customWidth="1"/>
    <col min="7939" max="7940" width="13.88671875" style="644" customWidth="1"/>
    <col min="7941" max="7941" width="11.5546875" style="644" customWidth="1"/>
    <col min="7942" max="7942" width="12.44140625" style="644" customWidth="1"/>
    <col min="7943" max="7943" width="12.109375" style="644" customWidth="1"/>
    <col min="7944" max="7945" width="12.6640625" style="644" customWidth="1"/>
    <col min="7946" max="8192" width="9.109375" style="644"/>
    <col min="8193" max="8193" width="2.88671875" style="644" customWidth="1"/>
    <col min="8194" max="8194" width="35.5546875" style="644" customWidth="1"/>
    <col min="8195" max="8196" width="13.88671875" style="644" customWidth="1"/>
    <col min="8197" max="8197" width="11.5546875" style="644" customWidth="1"/>
    <col min="8198" max="8198" width="12.44140625" style="644" customWidth="1"/>
    <col min="8199" max="8199" width="12.109375" style="644" customWidth="1"/>
    <col min="8200" max="8201" width="12.6640625" style="644" customWidth="1"/>
    <col min="8202" max="8448" width="9.109375" style="644"/>
    <col min="8449" max="8449" width="2.88671875" style="644" customWidth="1"/>
    <col min="8450" max="8450" width="35.5546875" style="644" customWidth="1"/>
    <col min="8451" max="8452" width="13.88671875" style="644" customWidth="1"/>
    <col min="8453" max="8453" width="11.5546875" style="644" customWidth="1"/>
    <col min="8454" max="8454" width="12.44140625" style="644" customWidth="1"/>
    <col min="8455" max="8455" width="12.109375" style="644" customWidth="1"/>
    <col min="8456" max="8457" width="12.6640625" style="644" customWidth="1"/>
    <col min="8458" max="8704" width="9.109375" style="644"/>
    <col min="8705" max="8705" width="2.88671875" style="644" customWidth="1"/>
    <col min="8706" max="8706" width="35.5546875" style="644" customWidth="1"/>
    <col min="8707" max="8708" width="13.88671875" style="644" customWidth="1"/>
    <col min="8709" max="8709" width="11.5546875" style="644" customWidth="1"/>
    <col min="8710" max="8710" width="12.44140625" style="644" customWidth="1"/>
    <col min="8711" max="8711" width="12.109375" style="644" customWidth="1"/>
    <col min="8712" max="8713" width="12.6640625" style="644" customWidth="1"/>
    <col min="8714" max="8960" width="9.109375" style="644"/>
    <col min="8961" max="8961" width="2.88671875" style="644" customWidth="1"/>
    <col min="8962" max="8962" width="35.5546875" style="644" customWidth="1"/>
    <col min="8963" max="8964" width="13.88671875" style="644" customWidth="1"/>
    <col min="8965" max="8965" width="11.5546875" style="644" customWidth="1"/>
    <col min="8966" max="8966" width="12.44140625" style="644" customWidth="1"/>
    <col min="8967" max="8967" width="12.109375" style="644" customWidth="1"/>
    <col min="8968" max="8969" width="12.6640625" style="644" customWidth="1"/>
    <col min="8970" max="9216" width="9.109375" style="644"/>
    <col min="9217" max="9217" width="2.88671875" style="644" customWidth="1"/>
    <col min="9218" max="9218" width="35.5546875" style="644" customWidth="1"/>
    <col min="9219" max="9220" width="13.88671875" style="644" customWidth="1"/>
    <col min="9221" max="9221" width="11.5546875" style="644" customWidth="1"/>
    <col min="9222" max="9222" width="12.44140625" style="644" customWidth="1"/>
    <col min="9223" max="9223" width="12.109375" style="644" customWidth="1"/>
    <col min="9224" max="9225" width="12.6640625" style="644" customWidth="1"/>
    <col min="9226" max="9472" width="9.109375" style="644"/>
    <col min="9473" max="9473" width="2.88671875" style="644" customWidth="1"/>
    <col min="9474" max="9474" width="35.5546875" style="644" customWidth="1"/>
    <col min="9475" max="9476" width="13.88671875" style="644" customWidth="1"/>
    <col min="9477" max="9477" width="11.5546875" style="644" customWidth="1"/>
    <col min="9478" max="9478" width="12.44140625" style="644" customWidth="1"/>
    <col min="9479" max="9479" width="12.109375" style="644" customWidth="1"/>
    <col min="9480" max="9481" width="12.6640625" style="644" customWidth="1"/>
    <col min="9482" max="9728" width="9.109375" style="644"/>
    <col min="9729" max="9729" width="2.88671875" style="644" customWidth="1"/>
    <col min="9730" max="9730" width="35.5546875" style="644" customWidth="1"/>
    <col min="9731" max="9732" width="13.88671875" style="644" customWidth="1"/>
    <col min="9733" max="9733" width="11.5546875" style="644" customWidth="1"/>
    <col min="9734" max="9734" width="12.44140625" style="644" customWidth="1"/>
    <col min="9735" max="9735" width="12.109375" style="644" customWidth="1"/>
    <col min="9736" max="9737" width="12.6640625" style="644" customWidth="1"/>
    <col min="9738" max="9984" width="9.109375" style="644"/>
    <col min="9985" max="9985" width="2.88671875" style="644" customWidth="1"/>
    <col min="9986" max="9986" width="35.5546875" style="644" customWidth="1"/>
    <col min="9987" max="9988" width="13.88671875" style="644" customWidth="1"/>
    <col min="9989" max="9989" width="11.5546875" style="644" customWidth="1"/>
    <col min="9990" max="9990" width="12.44140625" style="644" customWidth="1"/>
    <col min="9991" max="9991" width="12.109375" style="644" customWidth="1"/>
    <col min="9992" max="9993" width="12.6640625" style="644" customWidth="1"/>
    <col min="9994" max="10240" width="9.109375" style="644"/>
    <col min="10241" max="10241" width="2.88671875" style="644" customWidth="1"/>
    <col min="10242" max="10242" width="35.5546875" style="644" customWidth="1"/>
    <col min="10243" max="10244" width="13.88671875" style="644" customWidth="1"/>
    <col min="10245" max="10245" width="11.5546875" style="644" customWidth="1"/>
    <col min="10246" max="10246" width="12.44140625" style="644" customWidth="1"/>
    <col min="10247" max="10247" width="12.109375" style="644" customWidth="1"/>
    <col min="10248" max="10249" width="12.6640625" style="644" customWidth="1"/>
    <col min="10250" max="10496" width="9.109375" style="644"/>
    <col min="10497" max="10497" width="2.88671875" style="644" customWidth="1"/>
    <col min="10498" max="10498" width="35.5546875" style="644" customWidth="1"/>
    <col min="10499" max="10500" width="13.88671875" style="644" customWidth="1"/>
    <col min="10501" max="10501" width="11.5546875" style="644" customWidth="1"/>
    <col min="10502" max="10502" width="12.44140625" style="644" customWidth="1"/>
    <col min="10503" max="10503" width="12.109375" style="644" customWidth="1"/>
    <col min="10504" max="10505" width="12.6640625" style="644" customWidth="1"/>
    <col min="10506" max="10752" width="9.109375" style="644"/>
    <col min="10753" max="10753" width="2.88671875" style="644" customWidth="1"/>
    <col min="10754" max="10754" width="35.5546875" style="644" customWidth="1"/>
    <col min="10755" max="10756" width="13.88671875" style="644" customWidth="1"/>
    <col min="10757" max="10757" width="11.5546875" style="644" customWidth="1"/>
    <col min="10758" max="10758" width="12.44140625" style="644" customWidth="1"/>
    <col min="10759" max="10759" width="12.109375" style="644" customWidth="1"/>
    <col min="10760" max="10761" width="12.6640625" style="644" customWidth="1"/>
    <col min="10762" max="11008" width="9.109375" style="644"/>
    <col min="11009" max="11009" width="2.88671875" style="644" customWidth="1"/>
    <col min="11010" max="11010" width="35.5546875" style="644" customWidth="1"/>
    <col min="11011" max="11012" width="13.88671875" style="644" customWidth="1"/>
    <col min="11013" max="11013" width="11.5546875" style="644" customWidth="1"/>
    <col min="11014" max="11014" width="12.44140625" style="644" customWidth="1"/>
    <col min="11015" max="11015" width="12.109375" style="644" customWidth="1"/>
    <col min="11016" max="11017" width="12.6640625" style="644" customWidth="1"/>
    <col min="11018" max="11264" width="9.109375" style="644"/>
    <col min="11265" max="11265" width="2.88671875" style="644" customWidth="1"/>
    <col min="11266" max="11266" width="35.5546875" style="644" customWidth="1"/>
    <col min="11267" max="11268" width="13.88671875" style="644" customWidth="1"/>
    <col min="11269" max="11269" width="11.5546875" style="644" customWidth="1"/>
    <col min="11270" max="11270" width="12.44140625" style="644" customWidth="1"/>
    <col min="11271" max="11271" width="12.109375" style="644" customWidth="1"/>
    <col min="11272" max="11273" width="12.6640625" style="644" customWidth="1"/>
    <col min="11274" max="11520" width="9.109375" style="644"/>
    <col min="11521" max="11521" width="2.88671875" style="644" customWidth="1"/>
    <col min="11522" max="11522" width="35.5546875" style="644" customWidth="1"/>
    <col min="11523" max="11524" width="13.88671875" style="644" customWidth="1"/>
    <col min="11525" max="11525" width="11.5546875" style="644" customWidth="1"/>
    <col min="11526" max="11526" width="12.44140625" style="644" customWidth="1"/>
    <col min="11527" max="11527" width="12.109375" style="644" customWidth="1"/>
    <col min="11528" max="11529" width="12.6640625" style="644" customWidth="1"/>
    <col min="11530" max="11776" width="9.109375" style="644"/>
    <col min="11777" max="11777" width="2.88671875" style="644" customWidth="1"/>
    <col min="11778" max="11778" width="35.5546875" style="644" customWidth="1"/>
    <col min="11779" max="11780" width="13.88671875" style="644" customWidth="1"/>
    <col min="11781" max="11781" width="11.5546875" style="644" customWidth="1"/>
    <col min="11782" max="11782" width="12.44140625" style="644" customWidth="1"/>
    <col min="11783" max="11783" width="12.109375" style="644" customWidth="1"/>
    <col min="11784" max="11785" width="12.6640625" style="644" customWidth="1"/>
    <col min="11786" max="12032" width="9.109375" style="644"/>
    <col min="12033" max="12033" width="2.88671875" style="644" customWidth="1"/>
    <col min="12034" max="12034" width="35.5546875" style="644" customWidth="1"/>
    <col min="12035" max="12036" width="13.88671875" style="644" customWidth="1"/>
    <col min="12037" max="12037" width="11.5546875" style="644" customWidth="1"/>
    <col min="12038" max="12038" width="12.44140625" style="644" customWidth="1"/>
    <col min="12039" max="12039" width="12.109375" style="644" customWidth="1"/>
    <col min="12040" max="12041" width="12.6640625" style="644" customWidth="1"/>
    <col min="12042" max="12288" width="9.109375" style="644"/>
    <col min="12289" max="12289" width="2.88671875" style="644" customWidth="1"/>
    <col min="12290" max="12290" width="35.5546875" style="644" customWidth="1"/>
    <col min="12291" max="12292" width="13.88671875" style="644" customWidth="1"/>
    <col min="12293" max="12293" width="11.5546875" style="644" customWidth="1"/>
    <col min="12294" max="12294" width="12.44140625" style="644" customWidth="1"/>
    <col min="12295" max="12295" width="12.109375" style="644" customWidth="1"/>
    <col min="12296" max="12297" width="12.6640625" style="644" customWidth="1"/>
    <col min="12298" max="12544" width="9.109375" style="644"/>
    <col min="12545" max="12545" width="2.88671875" style="644" customWidth="1"/>
    <col min="12546" max="12546" width="35.5546875" style="644" customWidth="1"/>
    <col min="12547" max="12548" width="13.88671875" style="644" customWidth="1"/>
    <col min="12549" max="12549" width="11.5546875" style="644" customWidth="1"/>
    <col min="12550" max="12550" width="12.44140625" style="644" customWidth="1"/>
    <col min="12551" max="12551" width="12.109375" style="644" customWidth="1"/>
    <col min="12552" max="12553" width="12.6640625" style="644" customWidth="1"/>
    <col min="12554" max="12800" width="9.109375" style="644"/>
    <col min="12801" max="12801" width="2.88671875" style="644" customWidth="1"/>
    <col min="12802" max="12802" width="35.5546875" style="644" customWidth="1"/>
    <col min="12803" max="12804" width="13.88671875" style="644" customWidth="1"/>
    <col min="12805" max="12805" width="11.5546875" style="644" customWidth="1"/>
    <col min="12806" max="12806" width="12.44140625" style="644" customWidth="1"/>
    <col min="12807" max="12807" width="12.109375" style="644" customWidth="1"/>
    <col min="12808" max="12809" width="12.6640625" style="644" customWidth="1"/>
    <col min="12810" max="13056" width="9.109375" style="644"/>
    <col min="13057" max="13057" width="2.88671875" style="644" customWidth="1"/>
    <col min="13058" max="13058" width="35.5546875" style="644" customWidth="1"/>
    <col min="13059" max="13060" width="13.88671875" style="644" customWidth="1"/>
    <col min="13061" max="13061" width="11.5546875" style="644" customWidth="1"/>
    <col min="13062" max="13062" width="12.44140625" style="644" customWidth="1"/>
    <col min="13063" max="13063" width="12.109375" style="644" customWidth="1"/>
    <col min="13064" max="13065" width="12.6640625" style="644" customWidth="1"/>
    <col min="13066" max="13312" width="9.109375" style="644"/>
    <col min="13313" max="13313" width="2.88671875" style="644" customWidth="1"/>
    <col min="13314" max="13314" width="35.5546875" style="644" customWidth="1"/>
    <col min="13315" max="13316" width="13.88671875" style="644" customWidth="1"/>
    <col min="13317" max="13317" width="11.5546875" style="644" customWidth="1"/>
    <col min="13318" max="13318" width="12.44140625" style="644" customWidth="1"/>
    <col min="13319" max="13319" width="12.109375" style="644" customWidth="1"/>
    <col min="13320" max="13321" width="12.6640625" style="644" customWidth="1"/>
    <col min="13322" max="13568" width="9.109375" style="644"/>
    <col min="13569" max="13569" width="2.88671875" style="644" customWidth="1"/>
    <col min="13570" max="13570" width="35.5546875" style="644" customWidth="1"/>
    <col min="13571" max="13572" width="13.88671875" style="644" customWidth="1"/>
    <col min="13573" max="13573" width="11.5546875" style="644" customWidth="1"/>
    <col min="13574" max="13574" width="12.44140625" style="644" customWidth="1"/>
    <col min="13575" max="13575" width="12.109375" style="644" customWidth="1"/>
    <col min="13576" max="13577" width="12.6640625" style="644" customWidth="1"/>
    <col min="13578" max="13824" width="9.109375" style="644"/>
    <col min="13825" max="13825" width="2.88671875" style="644" customWidth="1"/>
    <col min="13826" max="13826" width="35.5546875" style="644" customWidth="1"/>
    <col min="13827" max="13828" width="13.88671875" style="644" customWidth="1"/>
    <col min="13829" max="13829" width="11.5546875" style="644" customWidth="1"/>
    <col min="13830" max="13830" width="12.44140625" style="644" customWidth="1"/>
    <col min="13831" max="13831" width="12.109375" style="644" customWidth="1"/>
    <col min="13832" max="13833" width="12.6640625" style="644" customWidth="1"/>
    <col min="13834" max="14080" width="9.109375" style="644"/>
    <col min="14081" max="14081" width="2.88671875" style="644" customWidth="1"/>
    <col min="14082" max="14082" width="35.5546875" style="644" customWidth="1"/>
    <col min="14083" max="14084" width="13.88671875" style="644" customWidth="1"/>
    <col min="14085" max="14085" width="11.5546875" style="644" customWidth="1"/>
    <col min="14086" max="14086" width="12.44140625" style="644" customWidth="1"/>
    <col min="14087" max="14087" width="12.109375" style="644" customWidth="1"/>
    <col min="14088" max="14089" width="12.6640625" style="644" customWidth="1"/>
    <col min="14090" max="14336" width="9.109375" style="644"/>
    <col min="14337" max="14337" width="2.88671875" style="644" customWidth="1"/>
    <col min="14338" max="14338" width="35.5546875" style="644" customWidth="1"/>
    <col min="14339" max="14340" width="13.88671875" style="644" customWidth="1"/>
    <col min="14341" max="14341" width="11.5546875" style="644" customWidth="1"/>
    <col min="14342" max="14342" width="12.44140625" style="644" customWidth="1"/>
    <col min="14343" max="14343" width="12.109375" style="644" customWidth="1"/>
    <col min="14344" max="14345" width="12.6640625" style="644" customWidth="1"/>
    <col min="14346" max="14592" width="9.109375" style="644"/>
    <col min="14593" max="14593" width="2.88671875" style="644" customWidth="1"/>
    <col min="14594" max="14594" width="35.5546875" style="644" customWidth="1"/>
    <col min="14595" max="14596" width="13.88671875" style="644" customWidth="1"/>
    <col min="14597" max="14597" width="11.5546875" style="644" customWidth="1"/>
    <col min="14598" max="14598" width="12.44140625" style="644" customWidth="1"/>
    <col min="14599" max="14599" width="12.109375" style="644" customWidth="1"/>
    <col min="14600" max="14601" width="12.6640625" style="644" customWidth="1"/>
    <col min="14602" max="14848" width="9.109375" style="644"/>
    <col min="14849" max="14849" width="2.88671875" style="644" customWidth="1"/>
    <col min="14850" max="14850" width="35.5546875" style="644" customWidth="1"/>
    <col min="14851" max="14852" width="13.88671875" style="644" customWidth="1"/>
    <col min="14853" max="14853" width="11.5546875" style="644" customWidth="1"/>
    <col min="14854" max="14854" width="12.44140625" style="644" customWidth="1"/>
    <col min="14855" max="14855" width="12.109375" style="644" customWidth="1"/>
    <col min="14856" max="14857" width="12.6640625" style="644" customWidth="1"/>
    <col min="14858" max="15104" width="9.109375" style="644"/>
    <col min="15105" max="15105" width="2.88671875" style="644" customWidth="1"/>
    <col min="15106" max="15106" width="35.5546875" style="644" customWidth="1"/>
    <col min="15107" max="15108" width="13.88671875" style="644" customWidth="1"/>
    <col min="15109" max="15109" width="11.5546875" style="644" customWidth="1"/>
    <col min="15110" max="15110" width="12.44140625" style="644" customWidth="1"/>
    <col min="15111" max="15111" width="12.109375" style="644" customWidth="1"/>
    <col min="15112" max="15113" width="12.6640625" style="644" customWidth="1"/>
    <col min="15114" max="15360" width="9.109375" style="644"/>
    <col min="15361" max="15361" width="2.88671875" style="644" customWidth="1"/>
    <col min="15362" max="15362" width="35.5546875" style="644" customWidth="1"/>
    <col min="15363" max="15364" width="13.88671875" style="644" customWidth="1"/>
    <col min="15365" max="15365" width="11.5546875" style="644" customWidth="1"/>
    <col min="15366" max="15366" width="12.44140625" style="644" customWidth="1"/>
    <col min="15367" max="15367" width="12.109375" style="644" customWidth="1"/>
    <col min="15368" max="15369" width="12.6640625" style="644" customWidth="1"/>
    <col min="15370" max="15616" width="9.109375" style="644"/>
    <col min="15617" max="15617" width="2.88671875" style="644" customWidth="1"/>
    <col min="15618" max="15618" width="35.5546875" style="644" customWidth="1"/>
    <col min="15619" max="15620" width="13.88671875" style="644" customWidth="1"/>
    <col min="15621" max="15621" width="11.5546875" style="644" customWidth="1"/>
    <col min="15622" max="15622" width="12.44140625" style="644" customWidth="1"/>
    <col min="15623" max="15623" width="12.109375" style="644" customWidth="1"/>
    <col min="15624" max="15625" width="12.6640625" style="644" customWidth="1"/>
    <col min="15626" max="15872" width="9.109375" style="644"/>
    <col min="15873" max="15873" width="2.88671875" style="644" customWidth="1"/>
    <col min="15874" max="15874" width="35.5546875" style="644" customWidth="1"/>
    <col min="15875" max="15876" width="13.88671875" style="644" customWidth="1"/>
    <col min="15877" max="15877" width="11.5546875" style="644" customWidth="1"/>
    <col min="15878" max="15878" width="12.44140625" style="644" customWidth="1"/>
    <col min="15879" max="15879" width="12.109375" style="644" customWidth="1"/>
    <col min="15880" max="15881" width="12.6640625" style="644" customWidth="1"/>
    <col min="15882" max="16128" width="9.109375" style="644"/>
    <col min="16129" max="16129" width="2.88671875" style="644" customWidth="1"/>
    <col min="16130" max="16130" width="35.5546875" style="644" customWidth="1"/>
    <col min="16131" max="16132" width="13.88671875" style="644" customWidth="1"/>
    <col min="16133" max="16133" width="11.5546875" style="644" customWidth="1"/>
    <col min="16134" max="16134" width="12.44140625" style="644" customWidth="1"/>
    <col min="16135" max="16135" width="12.109375" style="644" customWidth="1"/>
    <col min="16136" max="16137" width="12.6640625" style="644" customWidth="1"/>
    <col min="16138" max="16384" width="9.109375" style="644"/>
  </cols>
  <sheetData>
    <row r="1" spans="2:9" x14ac:dyDescent="0.2">
      <c r="B1" s="265"/>
    </row>
    <row r="2" spans="2:9" s="56" customFormat="1" x14ac:dyDescent="0.2"/>
    <row r="3" spans="2:9" s="56" customFormat="1" ht="13.2" x14ac:dyDescent="0.25">
      <c r="B3" s="535" t="s">
        <v>980</v>
      </c>
    </row>
    <row r="4" spans="2:9" s="56" customFormat="1" x14ac:dyDescent="0.2">
      <c r="C4" s="771"/>
      <c r="D4" s="771"/>
      <c r="E4" s="771"/>
    </row>
    <row r="5" spans="2:9" s="56" customFormat="1" ht="22.5" customHeight="1" x14ac:dyDescent="0.2">
      <c r="B5" s="780" t="s">
        <v>894</v>
      </c>
      <c r="C5" s="780"/>
      <c r="D5" s="568"/>
      <c r="E5" s="568"/>
    </row>
    <row r="6" spans="2:9" s="56" customFormat="1" x14ac:dyDescent="0.2"/>
    <row r="7" spans="2:9" s="56" customFormat="1" ht="48.75" customHeight="1" x14ac:dyDescent="0.2">
      <c r="B7" s="180" t="s">
        <v>348</v>
      </c>
      <c r="C7" s="565" t="s">
        <v>86</v>
      </c>
      <c r="D7" s="565" t="s">
        <v>87</v>
      </c>
      <c r="E7" s="565" t="s">
        <v>582</v>
      </c>
      <c r="F7" s="92" t="s">
        <v>347</v>
      </c>
      <c r="G7" s="565" t="s">
        <v>88</v>
      </c>
      <c r="H7" s="565" t="s">
        <v>89</v>
      </c>
      <c r="I7" s="687" t="s">
        <v>344</v>
      </c>
    </row>
    <row r="8" spans="2:9" s="56" customFormat="1" x14ac:dyDescent="0.2">
      <c r="B8" s="489" t="s">
        <v>799</v>
      </c>
      <c r="C8" s="491" t="s">
        <v>800</v>
      </c>
      <c r="D8" s="491"/>
      <c r="E8" s="201">
        <v>2000000</v>
      </c>
      <c r="F8" s="569">
        <v>0.1</v>
      </c>
      <c r="G8" s="201">
        <f t="shared" ref="G8:G11" si="0">E8*F8</f>
        <v>200000</v>
      </c>
      <c r="H8" s="258"/>
      <c r="I8" s="494"/>
    </row>
    <row r="9" spans="2:9" s="56" customFormat="1" x14ac:dyDescent="0.2">
      <c r="B9" s="489" t="s">
        <v>801</v>
      </c>
      <c r="C9" s="491" t="s">
        <v>800</v>
      </c>
      <c r="D9" s="570"/>
      <c r="E9" s="201">
        <v>215500</v>
      </c>
      <c r="F9" s="569">
        <v>0.1</v>
      </c>
      <c r="G9" s="201">
        <f t="shared" si="0"/>
        <v>21550</v>
      </c>
      <c r="H9" s="258"/>
      <c r="I9" s="494"/>
    </row>
    <row r="10" spans="2:9" s="56" customFormat="1" x14ac:dyDescent="0.2">
      <c r="B10" s="489" t="s">
        <v>927</v>
      </c>
      <c r="C10" s="491" t="s">
        <v>800</v>
      </c>
      <c r="D10" s="570"/>
      <c r="E10" s="201">
        <v>31741</v>
      </c>
      <c r="F10" s="569">
        <v>0.1</v>
      </c>
      <c r="G10" s="201">
        <f t="shared" si="0"/>
        <v>3174.1000000000004</v>
      </c>
      <c r="H10" s="258"/>
      <c r="I10" s="494"/>
    </row>
    <row r="11" spans="2:9" s="56" customFormat="1" x14ac:dyDescent="0.2">
      <c r="B11" s="489" t="s">
        <v>928</v>
      </c>
      <c r="C11" s="491" t="s">
        <v>800</v>
      </c>
      <c r="D11" s="570"/>
      <c r="E11" s="201">
        <v>44310</v>
      </c>
      <c r="F11" s="569">
        <v>0.1</v>
      </c>
      <c r="G11" s="201">
        <f t="shared" si="0"/>
        <v>4431</v>
      </c>
      <c r="H11" s="258"/>
      <c r="I11" s="494"/>
    </row>
    <row r="12" spans="2:9" s="56" customFormat="1" x14ac:dyDescent="0.2">
      <c r="B12" s="571"/>
      <c r="C12" s="11"/>
      <c r="D12" s="181"/>
      <c r="E12" s="189"/>
      <c r="G12" s="412"/>
      <c r="H12" s="11"/>
    </row>
    <row r="13" spans="2:9" s="56" customFormat="1" x14ac:dyDescent="0.2">
      <c r="B13" s="7"/>
      <c r="C13" s="7"/>
      <c r="D13" s="7"/>
      <c r="E13" s="7"/>
      <c r="F13" s="7"/>
      <c r="G13" s="11"/>
    </row>
    <row r="14" spans="2:9" s="56" customFormat="1" x14ac:dyDescent="0.2">
      <c r="B14" s="12" t="s">
        <v>247</v>
      </c>
      <c r="C14" s="12"/>
      <c r="D14" s="12"/>
      <c r="E14" s="12"/>
      <c r="F14" s="12"/>
    </row>
    <row r="15" spans="2:9" s="56" customFormat="1" x14ac:dyDescent="0.2">
      <c r="B15" s="12"/>
      <c r="C15" s="12"/>
      <c r="D15" s="12"/>
      <c r="E15" s="12"/>
      <c r="F15" s="12"/>
    </row>
    <row r="16" spans="2:9" s="56" customFormat="1" ht="20.399999999999999" x14ac:dyDescent="0.2">
      <c r="B16" s="180" t="s">
        <v>85</v>
      </c>
      <c r="C16" s="565" t="s">
        <v>582</v>
      </c>
      <c r="D16" s="565" t="s">
        <v>90</v>
      </c>
      <c r="E16" s="565" t="s">
        <v>91</v>
      </c>
      <c r="F16" s="565" t="s">
        <v>92</v>
      </c>
    </row>
    <row r="17" spans="2:9" s="56" customFormat="1" x14ac:dyDescent="0.2">
      <c r="B17" s="489" t="s">
        <v>802</v>
      </c>
      <c r="C17" s="201">
        <v>801544</v>
      </c>
      <c r="D17" s="707">
        <f t="shared" ref="D17:D22" si="1">C17/$C$23</f>
        <v>0.34978230901254215</v>
      </c>
      <c r="E17" s="201">
        <v>801544</v>
      </c>
      <c r="F17" s="707">
        <f t="shared" ref="F17:F22" si="2">E17/$E$23</f>
        <v>0.34978230901254215</v>
      </c>
    </row>
    <row r="18" spans="2:9" s="56" customFormat="1" x14ac:dyDescent="0.2">
      <c r="B18" s="489" t="s">
        <v>785</v>
      </c>
      <c r="C18" s="201">
        <v>601093</v>
      </c>
      <c r="D18" s="707">
        <f t="shared" si="1"/>
        <v>0.26230836669138063</v>
      </c>
      <c r="E18" s="201">
        <v>601093</v>
      </c>
      <c r="F18" s="707">
        <f t="shared" si="2"/>
        <v>0.26230836669138063</v>
      </c>
    </row>
    <row r="19" spans="2:9" s="56" customFormat="1" x14ac:dyDescent="0.2">
      <c r="B19" s="489" t="s">
        <v>803</v>
      </c>
      <c r="C19" s="201">
        <v>240719</v>
      </c>
      <c r="D19" s="707">
        <f t="shared" si="1"/>
        <v>0.10504632015608642</v>
      </c>
      <c r="E19" s="201">
        <v>240719</v>
      </c>
      <c r="F19" s="707">
        <f t="shared" si="2"/>
        <v>0.10504632015608642</v>
      </c>
    </row>
    <row r="20" spans="2:9" s="56" customFormat="1" x14ac:dyDescent="0.2">
      <c r="B20" s="489" t="s">
        <v>786</v>
      </c>
      <c r="C20" s="201">
        <v>135200</v>
      </c>
      <c r="D20" s="707">
        <f t="shared" si="1"/>
        <v>5.8999341494036135E-2</v>
      </c>
      <c r="E20" s="201">
        <v>135200</v>
      </c>
      <c r="F20" s="707">
        <f t="shared" si="2"/>
        <v>5.8999341494036135E-2</v>
      </c>
    </row>
    <row r="21" spans="2:9" s="56" customFormat="1" x14ac:dyDescent="0.2">
      <c r="B21" s="489" t="s">
        <v>804</v>
      </c>
      <c r="C21" s="201">
        <v>122138</v>
      </c>
      <c r="D21" s="707">
        <f t="shared" si="1"/>
        <v>5.329927197780019E-2</v>
      </c>
      <c r="E21" s="201">
        <v>122138</v>
      </c>
      <c r="F21" s="707">
        <f t="shared" si="2"/>
        <v>5.329927197780019E-2</v>
      </c>
    </row>
    <row r="22" spans="2:9" s="56" customFormat="1" x14ac:dyDescent="0.2">
      <c r="B22" s="489" t="s">
        <v>84</v>
      </c>
      <c r="C22" s="201">
        <v>390857</v>
      </c>
      <c r="D22" s="707">
        <f t="shared" si="1"/>
        <v>0.17056439066815446</v>
      </c>
      <c r="E22" s="201">
        <v>390857</v>
      </c>
      <c r="F22" s="707">
        <f t="shared" si="2"/>
        <v>0.17056439066815446</v>
      </c>
    </row>
    <row r="23" spans="2:9" s="56" customFormat="1" x14ac:dyDescent="0.2">
      <c r="B23" s="146" t="s">
        <v>26</v>
      </c>
      <c r="C23" s="116">
        <f>SUM(C17:C22)</f>
        <v>2291551</v>
      </c>
      <c r="D23" s="708">
        <f>SUM(D17:D22)</f>
        <v>1</v>
      </c>
      <c r="E23" s="116">
        <f>SUM(E17:E22)</f>
        <v>2291551</v>
      </c>
      <c r="F23" s="708">
        <f>SUM(F17:F22)</f>
        <v>1</v>
      </c>
    </row>
    <row r="24" spans="2:9" s="56" customFormat="1" x14ac:dyDescent="0.2">
      <c r="B24" s="10" t="s">
        <v>864</v>
      </c>
      <c r="C24" s="568"/>
      <c r="D24" s="568"/>
      <c r="E24" s="568"/>
    </row>
    <row r="25" spans="2:9" s="56" customFormat="1" x14ac:dyDescent="0.2"/>
    <row r="26" spans="2:9" s="56" customFormat="1" ht="48.75" customHeight="1" x14ac:dyDescent="0.2">
      <c r="B26" s="180" t="s">
        <v>348</v>
      </c>
      <c r="C26" s="565" t="s">
        <v>86</v>
      </c>
      <c r="D26" s="565" t="s">
        <v>87</v>
      </c>
      <c r="E26" s="565" t="s">
        <v>582</v>
      </c>
      <c r="F26" s="92" t="s">
        <v>347</v>
      </c>
      <c r="G26" s="565" t="s">
        <v>88</v>
      </c>
      <c r="H26" s="565" t="s">
        <v>89</v>
      </c>
      <c r="I26" s="687" t="s">
        <v>344</v>
      </c>
    </row>
    <row r="27" spans="2:9" s="56" customFormat="1" x14ac:dyDescent="0.2">
      <c r="B27" s="489" t="s">
        <v>799</v>
      </c>
      <c r="C27" s="491" t="s">
        <v>800</v>
      </c>
      <c r="D27" s="491"/>
      <c r="E27" s="201">
        <v>2000000</v>
      </c>
      <c r="F27" s="569">
        <v>0.1</v>
      </c>
      <c r="G27" s="201">
        <f t="shared" ref="G27:G32" si="3">E27*F27</f>
        <v>200000</v>
      </c>
      <c r="H27" s="258"/>
      <c r="I27" s="494"/>
    </row>
    <row r="28" spans="2:9" s="56" customFormat="1" x14ac:dyDescent="0.2">
      <c r="B28" s="489" t="s">
        <v>801</v>
      </c>
      <c r="C28" s="491" t="s">
        <v>800</v>
      </c>
      <c r="D28" s="570"/>
      <c r="E28" s="201">
        <v>215500</v>
      </c>
      <c r="F28" s="569">
        <v>0.1</v>
      </c>
      <c r="G28" s="201">
        <f t="shared" si="3"/>
        <v>21550</v>
      </c>
      <c r="H28" s="258"/>
      <c r="I28" s="494"/>
    </row>
    <row r="29" spans="2:9" s="56" customFormat="1" hidden="1" x14ac:dyDescent="0.2">
      <c r="B29" s="489"/>
      <c r="C29" s="491"/>
      <c r="D29" s="570"/>
      <c r="E29" s="201"/>
      <c r="F29" s="258"/>
      <c r="G29" s="201">
        <f t="shared" si="3"/>
        <v>0</v>
      </c>
      <c r="H29" s="258"/>
      <c r="I29" s="494"/>
    </row>
    <row r="30" spans="2:9" s="56" customFormat="1" hidden="1" x14ac:dyDescent="0.2">
      <c r="B30" s="489"/>
      <c r="C30" s="491"/>
      <c r="D30" s="570"/>
      <c r="E30" s="201"/>
      <c r="F30" s="258"/>
      <c r="G30" s="201">
        <f t="shared" si="3"/>
        <v>0</v>
      </c>
      <c r="H30" s="258"/>
      <c r="I30" s="494"/>
    </row>
    <row r="31" spans="2:9" s="56" customFormat="1" hidden="1" x14ac:dyDescent="0.2">
      <c r="B31" s="489"/>
      <c r="C31" s="491"/>
      <c r="D31" s="570"/>
      <c r="E31" s="201"/>
      <c r="F31" s="258"/>
      <c r="G31" s="201">
        <f t="shared" si="3"/>
        <v>0</v>
      </c>
      <c r="H31" s="258"/>
      <c r="I31" s="494"/>
    </row>
    <row r="32" spans="2:9" s="56" customFormat="1" hidden="1" x14ac:dyDescent="0.2">
      <c r="B32" s="489"/>
      <c r="C32" s="491"/>
      <c r="D32" s="570"/>
      <c r="E32" s="201"/>
      <c r="F32" s="258"/>
      <c r="G32" s="201">
        <f t="shared" si="3"/>
        <v>0</v>
      </c>
      <c r="H32" s="258"/>
      <c r="I32" s="494"/>
    </row>
    <row r="33" spans="2:8" s="56" customFormat="1" x14ac:dyDescent="0.2">
      <c r="B33" s="571"/>
      <c r="C33" s="11"/>
      <c r="D33" s="181"/>
      <c r="E33" s="189"/>
      <c r="G33" s="412"/>
      <c r="H33" s="11"/>
    </row>
    <row r="34" spans="2:8" s="56" customFormat="1" x14ac:dyDescent="0.2">
      <c r="B34" s="7"/>
      <c r="C34" s="7"/>
      <c r="D34" s="7"/>
      <c r="E34" s="7"/>
      <c r="F34" s="7"/>
      <c r="G34" s="11"/>
    </row>
    <row r="35" spans="2:8" s="56" customFormat="1" x14ac:dyDescent="0.2">
      <c r="B35" s="12" t="s">
        <v>247</v>
      </c>
      <c r="C35" s="12"/>
      <c r="D35" s="12"/>
      <c r="E35" s="12"/>
      <c r="F35" s="12"/>
    </row>
    <row r="36" spans="2:8" s="56" customFormat="1" x14ac:dyDescent="0.2">
      <c r="B36" s="12"/>
      <c r="C36" s="12"/>
      <c r="D36" s="12"/>
      <c r="E36" s="12"/>
      <c r="F36" s="12"/>
    </row>
    <row r="37" spans="2:8" s="56" customFormat="1" ht="20.399999999999999" x14ac:dyDescent="0.2">
      <c r="B37" s="180" t="s">
        <v>85</v>
      </c>
      <c r="C37" s="565" t="s">
        <v>582</v>
      </c>
      <c r="D37" s="565" t="s">
        <v>90</v>
      </c>
      <c r="E37" s="565" t="s">
        <v>91</v>
      </c>
      <c r="F37" s="565" t="s">
        <v>92</v>
      </c>
    </row>
    <row r="38" spans="2:8" s="56" customFormat="1" x14ac:dyDescent="0.2">
      <c r="B38" s="489" t="s">
        <v>802</v>
      </c>
      <c r="C38" s="201">
        <v>801544</v>
      </c>
      <c r="D38" s="707">
        <f>C38/$C$45</f>
        <v>0.36178921236741141</v>
      </c>
      <c r="E38" s="201">
        <v>801544</v>
      </c>
      <c r="F38" s="707">
        <f>E38/$E$45</f>
        <v>0.36178921236741141</v>
      </c>
    </row>
    <row r="39" spans="2:8" s="56" customFormat="1" x14ac:dyDescent="0.2">
      <c r="B39" s="489" t="s">
        <v>785</v>
      </c>
      <c r="C39" s="201">
        <v>590207</v>
      </c>
      <c r="D39" s="707">
        <f t="shared" ref="D39:D44" si="4">C39/$C$45</f>
        <v>0.26639900699616337</v>
      </c>
      <c r="E39" s="201">
        <v>590207</v>
      </c>
      <c r="F39" s="707">
        <f t="shared" ref="F39:F44" si="5">E39/$E$45</f>
        <v>0.26639900699616337</v>
      </c>
    </row>
    <row r="40" spans="2:8" s="56" customFormat="1" x14ac:dyDescent="0.2">
      <c r="B40" s="489" t="s">
        <v>803</v>
      </c>
      <c r="C40" s="201">
        <v>240719</v>
      </c>
      <c r="D40" s="707">
        <f t="shared" si="4"/>
        <v>0.10865222297449785</v>
      </c>
      <c r="E40" s="201">
        <v>240719</v>
      </c>
      <c r="F40" s="707">
        <f t="shared" si="5"/>
        <v>0.10865222297449785</v>
      </c>
    </row>
    <row r="41" spans="2:8" s="56" customFormat="1" x14ac:dyDescent="0.2">
      <c r="B41" s="489" t="s">
        <v>786</v>
      </c>
      <c r="C41" s="201">
        <v>135200</v>
      </c>
      <c r="D41" s="707">
        <f t="shared" si="4"/>
        <v>6.1024599413225009E-2</v>
      </c>
      <c r="E41" s="201">
        <v>135200</v>
      </c>
      <c r="F41" s="707">
        <f t="shared" si="5"/>
        <v>6.1024599413225009E-2</v>
      </c>
    </row>
    <row r="42" spans="2:8" s="56" customFormat="1" x14ac:dyDescent="0.2">
      <c r="B42" s="489" t="s">
        <v>804</v>
      </c>
      <c r="C42" s="201">
        <v>122138</v>
      </c>
      <c r="D42" s="707">
        <f t="shared" si="4"/>
        <v>5.5128864816068608E-2</v>
      </c>
      <c r="E42" s="201">
        <v>122138</v>
      </c>
      <c r="F42" s="707">
        <f t="shared" si="5"/>
        <v>5.5128864816068608E-2</v>
      </c>
    </row>
    <row r="43" spans="2:8" s="56" customFormat="1" x14ac:dyDescent="0.2">
      <c r="B43" s="489" t="s">
        <v>873</v>
      </c>
      <c r="C43" s="201">
        <v>120553</v>
      </c>
      <c r="D43" s="707">
        <f t="shared" si="4"/>
        <v>5.4413450688332206E-2</v>
      </c>
      <c r="E43" s="201">
        <v>120553</v>
      </c>
      <c r="F43" s="707">
        <f t="shared" si="5"/>
        <v>5.4413450688332206E-2</v>
      </c>
    </row>
    <row r="44" spans="2:8" s="56" customFormat="1" x14ac:dyDescent="0.2">
      <c r="B44" s="489" t="s">
        <v>84</v>
      </c>
      <c r="C44" s="201">
        <v>205139</v>
      </c>
      <c r="D44" s="707">
        <f t="shared" si="4"/>
        <v>9.2592642744301512E-2</v>
      </c>
      <c r="E44" s="201">
        <v>205139</v>
      </c>
      <c r="F44" s="707">
        <f t="shared" si="5"/>
        <v>9.2592642744301512E-2</v>
      </c>
    </row>
    <row r="45" spans="2:8" s="56" customFormat="1" x14ac:dyDescent="0.2">
      <c r="B45" s="146" t="s">
        <v>26</v>
      </c>
      <c r="C45" s="116">
        <f>SUM(C38:C44)</f>
        <v>2215500</v>
      </c>
      <c r="D45" s="707">
        <f>C45/$C$45</f>
        <v>1</v>
      </c>
      <c r="E45" s="116">
        <f>SUM(E38:E44)</f>
        <v>2215500</v>
      </c>
      <c r="F45" s="707">
        <f>E45/$E$45</f>
        <v>1</v>
      </c>
    </row>
    <row r="46" spans="2:8" s="56" customFormat="1" x14ac:dyDescent="0.2"/>
    <row r="47" spans="2:8" s="56" customFormat="1" x14ac:dyDescent="0.2">
      <c r="B47" s="66" t="s">
        <v>248</v>
      </c>
    </row>
    <row r="48" spans="2:8" s="56" customFormat="1" x14ac:dyDescent="0.2"/>
    <row r="49" spans="2:5" s="56" customFormat="1" ht="20.399999999999999" x14ac:dyDescent="0.2">
      <c r="B49" s="709" t="s">
        <v>416</v>
      </c>
      <c r="C49" s="710" t="str">
        <f>'[7]Dane podstawowe'!B7</f>
        <v>01.01.2016-31.12.2016</v>
      </c>
      <c r="D49" s="710" t="str">
        <f>'[7]Dane podstawowe'!B12</f>
        <v>01.01.2015-31.12.2015</v>
      </c>
    </row>
    <row r="50" spans="2:5" s="56" customFormat="1" x14ac:dyDescent="0.2">
      <c r="B50" s="73" t="s">
        <v>249</v>
      </c>
      <c r="C50" s="160">
        <f>D58</f>
        <v>221550</v>
      </c>
      <c r="D50" s="160">
        <v>221550</v>
      </c>
    </row>
    <row r="51" spans="2:5" s="111" customFormat="1" x14ac:dyDescent="0.2">
      <c r="B51" s="203" t="s">
        <v>251</v>
      </c>
      <c r="C51" s="294">
        <f>SUM(C52:C53)</f>
        <v>7605.1</v>
      </c>
      <c r="D51" s="294">
        <f>SUM(D52:D53)</f>
        <v>0</v>
      </c>
    </row>
    <row r="52" spans="2:5" s="56" customFormat="1" x14ac:dyDescent="0.2">
      <c r="B52" s="420" t="s">
        <v>929</v>
      </c>
      <c r="C52" s="201">
        <v>3174.1</v>
      </c>
      <c r="D52" s="201"/>
    </row>
    <row r="53" spans="2:5" s="56" customFormat="1" x14ac:dyDescent="0.2">
      <c r="B53" s="420" t="s">
        <v>930</v>
      </c>
      <c r="C53" s="201">
        <v>4431</v>
      </c>
      <c r="D53" s="201"/>
    </row>
    <row r="54" spans="2:5" s="111" customFormat="1" x14ac:dyDescent="0.2">
      <c r="B54" s="203" t="s">
        <v>115</v>
      </c>
      <c r="C54" s="294">
        <f>SUM(C55:C56)</f>
        <v>0</v>
      </c>
      <c r="D54" s="294">
        <f>SUM(D55:D56)</f>
        <v>0</v>
      </c>
    </row>
    <row r="55" spans="2:5" s="56" customFormat="1" hidden="1" x14ac:dyDescent="0.2">
      <c r="B55" s="179" t="s">
        <v>346</v>
      </c>
      <c r="C55" s="201"/>
      <c r="D55" s="201"/>
    </row>
    <row r="56" spans="2:5" s="56" customFormat="1" hidden="1" x14ac:dyDescent="0.2">
      <c r="B56" s="179" t="s">
        <v>346</v>
      </c>
      <c r="C56" s="201"/>
      <c r="D56" s="201"/>
    </row>
    <row r="57" spans="2:5" s="56" customFormat="1" hidden="1" x14ac:dyDescent="0.2">
      <c r="B57" s="261" t="s">
        <v>345</v>
      </c>
      <c r="C57" s="291"/>
      <c r="D57" s="291"/>
    </row>
    <row r="58" spans="2:5" s="56" customFormat="1" x14ac:dyDescent="0.2">
      <c r="B58" s="79" t="s">
        <v>250</v>
      </c>
      <c r="C58" s="206">
        <f>SUM(C50:C51,-C54)</f>
        <v>229155.1</v>
      </c>
      <c r="D58" s="206">
        <f>SUM(D50:D51,-D54)</f>
        <v>221550</v>
      </c>
    </row>
    <row r="59" spans="2:5" s="56" customFormat="1" x14ac:dyDescent="0.2">
      <c r="C59" s="404">
        <f>Pasywa!D5-C58</f>
        <v>-0.10000000000582077</v>
      </c>
      <c r="D59" s="404">
        <f>Pasywa!E5-D58</f>
        <v>0</v>
      </c>
    </row>
    <row r="60" spans="2:5" s="56" customFormat="1" x14ac:dyDescent="0.2"/>
    <row r="61" spans="2:5" s="56" customFormat="1" x14ac:dyDescent="0.2">
      <c r="E61" s="568"/>
    </row>
    <row r="62" spans="2:5" s="56" customFormat="1" ht="13.2" x14ac:dyDescent="0.25">
      <c r="B62" s="535" t="s">
        <v>981</v>
      </c>
      <c r="E62" s="568"/>
    </row>
    <row r="63" spans="2:5" s="56" customFormat="1" x14ac:dyDescent="0.2">
      <c r="B63" s="66"/>
      <c r="E63" s="568"/>
    </row>
    <row r="64" spans="2:5" s="56" customFormat="1" x14ac:dyDescent="0.2">
      <c r="B64" s="182"/>
      <c r="C64" s="623">
        <f>'[7]Dane podstawowe'!B9</f>
        <v>42735</v>
      </c>
      <c r="D64" s="623">
        <f>'[7]Dane podstawowe'!B14</f>
        <v>42369</v>
      </c>
    </row>
    <row r="65" spans="2:7" s="56" customFormat="1" x14ac:dyDescent="0.2">
      <c r="B65" s="601" t="s">
        <v>3</v>
      </c>
      <c r="C65" s="108">
        <v>7863733</v>
      </c>
      <c r="D65" s="101">
        <v>2894492</v>
      </c>
    </row>
    <row r="66" spans="2:7" s="56" customFormat="1" x14ac:dyDescent="0.2">
      <c r="B66" s="139" t="s">
        <v>349</v>
      </c>
      <c r="C66" s="108">
        <v>9069218.3399999999</v>
      </c>
      <c r="D66" s="101">
        <v>9069218</v>
      </c>
    </row>
    <row r="67" spans="2:7" s="56" customFormat="1" x14ac:dyDescent="0.2">
      <c r="B67" s="139" t="s">
        <v>350</v>
      </c>
      <c r="C67" s="108">
        <f>738929.62</f>
        <v>738929.62</v>
      </c>
      <c r="D67" s="101">
        <v>1752023</v>
      </c>
    </row>
    <row r="68" spans="2:7" s="56" customFormat="1" x14ac:dyDescent="0.2">
      <c r="B68" s="139" t="s">
        <v>226</v>
      </c>
      <c r="C68" s="108"/>
      <c r="D68" s="101"/>
    </row>
    <row r="69" spans="2:7" s="56" customFormat="1" x14ac:dyDescent="0.2">
      <c r="B69" s="183" t="s">
        <v>636</v>
      </c>
      <c r="C69" s="57">
        <f>SUM(C65:C68)</f>
        <v>17671880.960000001</v>
      </c>
      <c r="D69" s="99">
        <f>SUM(D65:D68)</f>
        <v>13715733</v>
      </c>
    </row>
    <row r="70" spans="2:7" s="56" customFormat="1" x14ac:dyDescent="0.2">
      <c r="B70" s="128"/>
      <c r="C70" s="515"/>
      <c r="D70" s="515"/>
      <c r="E70" s="568"/>
    </row>
    <row r="71" spans="2:7" s="56" customFormat="1" ht="10.5" customHeight="1" x14ac:dyDescent="0.2"/>
    <row r="72" spans="2:7" s="56" customFormat="1" x14ac:dyDescent="0.2">
      <c r="B72" s="135" t="s">
        <v>359</v>
      </c>
    </row>
    <row r="73" spans="2:7" s="56" customFormat="1" x14ac:dyDescent="0.2"/>
    <row r="74" spans="2:7" s="56" customFormat="1" ht="30.6" x14ac:dyDescent="0.2">
      <c r="B74" s="92" t="s">
        <v>416</v>
      </c>
      <c r="C74" s="92" t="s">
        <v>3</v>
      </c>
      <c r="D74" s="92" t="s">
        <v>349</v>
      </c>
      <c r="E74" s="92" t="s">
        <v>351</v>
      </c>
      <c r="F74" s="92" t="s">
        <v>133</v>
      </c>
      <c r="G74" s="92" t="s">
        <v>26</v>
      </c>
    </row>
    <row r="75" spans="2:7" s="56" customFormat="1" x14ac:dyDescent="0.2">
      <c r="B75" s="635">
        <v>42370</v>
      </c>
      <c r="C75" s="160">
        <f>C115</f>
        <v>2894491</v>
      </c>
      <c r="D75" s="160">
        <f>D115</f>
        <v>9069218</v>
      </c>
      <c r="E75" s="160">
        <f>E115</f>
        <v>1752024</v>
      </c>
      <c r="F75" s="160">
        <f>F115</f>
        <v>0</v>
      </c>
      <c r="G75" s="160">
        <f>SUM(C75:F75)</f>
        <v>13715733</v>
      </c>
    </row>
    <row r="76" spans="2:7" s="111" customFormat="1" x14ac:dyDescent="0.2">
      <c r="B76" s="203" t="s">
        <v>357</v>
      </c>
      <c r="C76" s="294">
        <f>SUM(C77:C85)</f>
        <v>5225992.6399999997</v>
      </c>
      <c r="D76" s="294">
        <f>SUM(D77:D84)</f>
        <v>0</v>
      </c>
      <c r="E76" s="294">
        <f>SUM(E77:E84)</f>
        <v>0</v>
      </c>
      <c r="F76" s="294">
        <f>SUM(F77:F84)</f>
        <v>0</v>
      </c>
      <c r="G76" s="160">
        <f t="shared" ref="G76:G115" si="6">SUM(C76:F76)</f>
        <v>5225992.6399999997</v>
      </c>
    </row>
    <row r="77" spans="2:7" s="56" customFormat="1" ht="20.399999999999999" x14ac:dyDescent="0.2">
      <c r="B77" s="552" t="s">
        <v>352</v>
      </c>
      <c r="C77" s="201"/>
      <c r="D77" s="201"/>
      <c r="E77" s="258"/>
      <c r="F77" s="160"/>
      <c r="G77" s="201">
        <f>SUM(C77:F77)</f>
        <v>0</v>
      </c>
    </row>
    <row r="78" spans="2:7" s="56" customFormat="1" x14ac:dyDescent="0.2">
      <c r="B78" s="552" t="s">
        <v>751</v>
      </c>
      <c r="C78" s="201"/>
      <c r="D78" s="201"/>
      <c r="E78" s="258"/>
      <c r="F78" s="160"/>
      <c r="G78" s="201">
        <f t="shared" ref="G78:G85" si="7">SUM(C78:F78)</f>
        <v>0</v>
      </c>
    </row>
    <row r="79" spans="2:7" s="56" customFormat="1" x14ac:dyDescent="0.2">
      <c r="B79" s="711" t="s">
        <v>353</v>
      </c>
      <c r="C79" s="712"/>
      <c r="E79" s="661"/>
      <c r="F79" s="713"/>
      <c r="G79" s="201">
        <f t="shared" si="7"/>
        <v>0</v>
      </c>
    </row>
    <row r="80" spans="2:7" s="56" customFormat="1" x14ac:dyDescent="0.2">
      <c r="B80" s="552" t="s">
        <v>167</v>
      </c>
      <c r="C80" s="201">
        <v>775711</v>
      </c>
      <c r="D80" s="494"/>
      <c r="E80" s="258"/>
      <c r="F80" s="160"/>
      <c r="G80" s="201">
        <v>775711</v>
      </c>
    </row>
    <row r="81" spans="2:7" s="56" customFormat="1" ht="20.399999999999999" x14ac:dyDescent="0.2">
      <c r="B81" s="552" t="s">
        <v>354</v>
      </c>
      <c r="C81" s="201"/>
      <c r="D81" s="201"/>
      <c r="E81" s="258"/>
      <c r="F81" s="160"/>
      <c r="G81" s="201">
        <f t="shared" si="7"/>
        <v>0</v>
      </c>
    </row>
    <row r="82" spans="2:7" s="56" customFormat="1" x14ac:dyDescent="0.2">
      <c r="B82" s="552" t="s">
        <v>353</v>
      </c>
      <c r="C82" s="201"/>
      <c r="D82" s="201"/>
      <c r="E82" s="258"/>
      <c r="F82" s="160"/>
      <c r="G82" s="201">
        <f t="shared" si="7"/>
        <v>0</v>
      </c>
    </row>
    <row r="83" spans="2:7" s="56" customFormat="1" x14ac:dyDescent="0.2">
      <c r="B83" s="552" t="s">
        <v>355</v>
      </c>
      <c r="C83" s="201">
        <v>4450281.6399999997</v>
      </c>
      <c r="D83" s="201"/>
      <c r="E83" s="258"/>
      <c r="F83" s="160"/>
      <c r="G83" s="201">
        <f t="shared" si="7"/>
        <v>4450281.6399999997</v>
      </c>
    </row>
    <row r="84" spans="2:7" s="56" customFormat="1" ht="20.399999999999999" x14ac:dyDescent="0.2">
      <c r="B84" s="552" t="s">
        <v>356</v>
      </c>
      <c r="C84" s="201"/>
      <c r="D84" s="201"/>
      <c r="E84" s="258"/>
      <c r="F84" s="160"/>
      <c r="G84" s="201">
        <f t="shared" si="7"/>
        <v>0</v>
      </c>
    </row>
    <row r="85" spans="2:7" s="56" customFormat="1" x14ac:dyDescent="0.2">
      <c r="B85" s="552" t="s">
        <v>749</v>
      </c>
      <c r="C85" s="201"/>
      <c r="D85" s="201"/>
      <c r="E85" s="258"/>
      <c r="F85" s="160"/>
      <c r="G85" s="201">
        <f t="shared" si="7"/>
        <v>0</v>
      </c>
    </row>
    <row r="86" spans="2:7" s="111" customFormat="1" x14ac:dyDescent="0.2">
      <c r="B86" s="203" t="s">
        <v>358</v>
      </c>
      <c r="C86" s="294">
        <f>SUM(C87:C94)</f>
        <v>256751</v>
      </c>
      <c r="D86" s="294">
        <f>SUM(D87:D94)</f>
        <v>0</v>
      </c>
      <c r="E86" s="294">
        <f>SUM(E87:E94)</f>
        <v>1013093.61</v>
      </c>
      <c r="F86" s="294">
        <f>SUM(F87:F94)</f>
        <v>0</v>
      </c>
      <c r="G86" s="160">
        <f t="shared" si="6"/>
        <v>1269844.6099999999</v>
      </c>
    </row>
    <row r="87" spans="2:7" s="56" customFormat="1" ht="20.399999999999999" x14ac:dyDescent="0.2">
      <c r="B87" s="552" t="s">
        <v>352</v>
      </c>
      <c r="C87" s="201"/>
      <c r="D87" s="201"/>
      <c r="E87" s="258"/>
      <c r="F87" s="160"/>
      <c r="G87" s="201">
        <f>SUM(C87:F87)</f>
        <v>0</v>
      </c>
    </row>
    <row r="88" spans="2:7" s="56" customFormat="1" x14ac:dyDescent="0.2">
      <c r="B88" s="552" t="s">
        <v>749</v>
      </c>
      <c r="C88" s="201">
        <v>20876</v>
      </c>
      <c r="D88" s="201"/>
      <c r="E88" s="258"/>
      <c r="F88" s="160"/>
      <c r="G88" s="201">
        <f t="shared" ref="G88:G94" si="8">SUM(C88:F88)</f>
        <v>20876</v>
      </c>
    </row>
    <row r="89" spans="2:7" s="56" customFormat="1" x14ac:dyDescent="0.2">
      <c r="B89" s="552" t="s">
        <v>353</v>
      </c>
      <c r="C89" s="201"/>
      <c r="D89" s="201"/>
      <c r="E89" s="258"/>
      <c r="F89" s="160"/>
      <c r="G89" s="201">
        <f t="shared" si="8"/>
        <v>0</v>
      </c>
    </row>
    <row r="90" spans="2:7" s="56" customFormat="1" x14ac:dyDescent="0.2">
      <c r="B90" s="552" t="s">
        <v>549</v>
      </c>
      <c r="C90" s="201">
        <v>235875</v>
      </c>
      <c r="D90" s="201"/>
      <c r="E90" s="258"/>
      <c r="F90" s="160"/>
      <c r="G90" s="201">
        <f t="shared" si="8"/>
        <v>235875</v>
      </c>
    </row>
    <row r="91" spans="2:7" s="56" customFormat="1" ht="20.399999999999999" x14ac:dyDescent="0.2">
      <c r="B91" s="552" t="s">
        <v>354</v>
      </c>
      <c r="C91" s="201"/>
      <c r="D91" s="201"/>
      <c r="E91" s="258"/>
      <c r="F91" s="160"/>
      <c r="G91" s="201">
        <f t="shared" si="8"/>
        <v>0</v>
      </c>
    </row>
    <row r="92" spans="2:7" s="56" customFormat="1" x14ac:dyDescent="0.2">
      <c r="B92" s="552" t="s">
        <v>353</v>
      </c>
      <c r="C92" s="201"/>
      <c r="D92" s="201"/>
      <c r="E92" s="258"/>
      <c r="F92" s="160"/>
      <c r="G92" s="201">
        <f t="shared" si="8"/>
        <v>0</v>
      </c>
    </row>
    <row r="93" spans="2:7" s="56" customFormat="1" x14ac:dyDescent="0.2">
      <c r="B93" s="552" t="s">
        <v>355</v>
      </c>
      <c r="C93" s="201"/>
      <c r="D93" s="201"/>
      <c r="E93" s="258"/>
      <c r="F93" s="160"/>
      <c r="G93" s="201">
        <f t="shared" si="8"/>
        <v>0</v>
      </c>
    </row>
    <row r="94" spans="2:7" s="56" customFormat="1" ht="20.399999999999999" x14ac:dyDescent="0.2">
      <c r="B94" s="552" t="s">
        <v>356</v>
      </c>
      <c r="C94" s="201"/>
      <c r="D94" s="201"/>
      <c r="E94" s="258">
        <v>1013093.61</v>
      </c>
      <c r="F94" s="160"/>
      <c r="G94" s="201">
        <f t="shared" si="8"/>
        <v>1013093.61</v>
      </c>
    </row>
    <row r="95" spans="2:7" s="56" customFormat="1" x14ac:dyDescent="0.2">
      <c r="B95" s="635">
        <v>42735</v>
      </c>
      <c r="C95" s="160">
        <f>C75+C76-C86</f>
        <v>7863732.6399999997</v>
      </c>
      <c r="D95" s="160">
        <f>D75+D76-D86</f>
        <v>9069218</v>
      </c>
      <c r="E95" s="160">
        <f>E75+E76-E86</f>
        <v>738930.39</v>
      </c>
      <c r="F95" s="160">
        <f>F75+F76-F86</f>
        <v>0</v>
      </c>
      <c r="G95" s="160">
        <f>G75+G76-G86</f>
        <v>17671881.030000001</v>
      </c>
    </row>
    <row r="96" spans="2:7" s="56" customFormat="1" x14ac:dyDescent="0.2">
      <c r="B96" s="635">
        <v>42005</v>
      </c>
      <c r="C96" s="160">
        <v>2686876</v>
      </c>
      <c r="D96" s="160">
        <v>9069218</v>
      </c>
      <c r="E96" s="160">
        <v>1212939</v>
      </c>
      <c r="F96" s="160">
        <v>0</v>
      </c>
      <c r="G96" s="160">
        <f>SUM(C96:F96)</f>
        <v>12969033</v>
      </c>
    </row>
    <row r="97" spans="2:7" s="111" customFormat="1" x14ac:dyDescent="0.2">
      <c r="B97" s="203" t="s">
        <v>357</v>
      </c>
      <c r="C97" s="294">
        <f>SUM(C98:C106)</f>
        <v>426103</v>
      </c>
      <c r="D97" s="294">
        <f t="shared" ref="D97:F97" si="9">SUM(D98:D106)</f>
        <v>0</v>
      </c>
      <c r="E97" s="294">
        <f t="shared" si="9"/>
        <v>539085</v>
      </c>
      <c r="F97" s="294">
        <f t="shared" si="9"/>
        <v>0</v>
      </c>
      <c r="G97" s="160">
        <f t="shared" si="6"/>
        <v>965188</v>
      </c>
    </row>
    <row r="98" spans="2:7" s="56" customFormat="1" ht="20.399999999999999" x14ac:dyDescent="0.2">
      <c r="B98" s="552" t="s">
        <v>352</v>
      </c>
      <c r="C98" s="201"/>
      <c r="D98" s="201"/>
      <c r="E98" s="258"/>
      <c r="F98" s="160"/>
      <c r="G98" s="201">
        <f t="shared" si="6"/>
        <v>0</v>
      </c>
    </row>
    <row r="99" spans="2:7" s="56" customFormat="1" x14ac:dyDescent="0.2">
      <c r="B99" s="552" t="s">
        <v>751</v>
      </c>
      <c r="C99" s="201"/>
      <c r="D99" s="201">
        <v>0</v>
      </c>
      <c r="E99" s="258"/>
      <c r="F99" s="160"/>
      <c r="G99" s="201"/>
    </row>
    <row r="100" spans="2:7" s="56" customFormat="1" x14ac:dyDescent="0.2">
      <c r="B100" s="552" t="s">
        <v>353</v>
      </c>
      <c r="C100" s="201"/>
      <c r="E100" s="258"/>
      <c r="F100" s="160"/>
      <c r="G100" s="201">
        <f t="shared" si="6"/>
        <v>0</v>
      </c>
    </row>
    <row r="101" spans="2:7" s="56" customFormat="1" ht="20.399999999999999" x14ac:dyDescent="0.2">
      <c r="B101" s="552" t="s">
        <v>354</v>
      </c>
      <c r="C101" s="201"/>
      <c r="D101" s="201"/>
      <c r="E101" s="258"/>
      <c r="F101" s="160"/>
      <c r="G101" s="201">
        <f t="shared" si="6"/>
        <v>0</v>
      </c>
    </row>
    <row r="102" spans="2:7" s="56" customFormat="1" x14ac:dyDescent="0.2">
      <c r="B102" s="552" t="s">
        <v>353</v>
      </c>
      <c r="C102" s="201"/>
      <c r="D102" s="201"/>
      <c r="E102" s="258"/>
      <c r="F102" s="160"/>
      <c r="G102" s="201">
        <f t="shared" si="6"/>
        <v>0</v>
      </c>
    </row>
    <row r="103" spans="2:7" s="56" customFormat="1" x14ac:dyDescent="0.2">
      <c r="B103" s="552" t="s">
        <v>355</v>
      </c>
      <c r="C103" s="201"/>
      <c r="D103" s="201"/>
      <c r="E103" s="258"/>
      <c r="F103" s="160"/>
      <c r="G103" s="201">
        <f t="shared" si="6"/>
        <v>0</v>
      </c>
    </row>
    <row r="104" spans="2:7" s="56" customFormat="1" x14ac:dyDescent="0.2">
      <c r="B104" s="552" t="s">
        <v>805</v>
      </c>
      <c r="C104" s="201"/>
      <c r="D104" s="201"/>
      <c r="E104" s="258"/>
      <c r="F104" s="160"/>
      <c r="G104" s="201"/>
    </row>
    <row r="105" spans="2:7" s="56" customFormat="1" ht="20.399999999999999" x14ac:dyDescent="0.2">
      <c r="B105" s="552" t="s">
        <v>356</v>
      </c>
      <c r="C105" s="201"/>
      <c r="D105" s="201"/>
      <c r="E105" s="258">
        <v>539085</v>
      </c>
      <c r="F105" s="160"/>
      <c r="G105" s="201">
        <f t="shared" si="6"/>
        <v>539085</v>
      </c>
    </row>
    <row r="106" spans="2:7" s="56" customFormat="1" x14ac:dyDescent="0.2">
      <c r="B106" s="552" t="s">
        <v>749</v>
      </c>
      <c r="C106" s="201">
        <v>426103</v>
      </c>
      <c r="D106" s="201"/>
      <c r="E106" s="258"/>
      <c r="F106" s="160"/>
      <c r="G106" s="201"/>
    </row>
    <row r="107" spans="2:7" s="111" customFormat="1" x14ac:dyDescent="0.2">
      <c r="B107" s="203" t="s">
        <v>358</v>
      </c>
      <c r="C107" s="294">
        <f>SUM(C108:C114)</f>
        <v>218488</v>
      </c>
      <c r="D107" s="294">
        <f>SUM(D108:D114)</f>
        <v>0</v>
      </c>
      <c r="E107" s="294">
        <f>SUM(E108:E114)</f>
        <v>0</v>
      </c>
      <c r="F107" s="294">
        <f>SUM(F108:F114)</f>
        <v>0</v>
      </c>
      <c r="G107" s="160">
        <f t="shared" si="6"/>
        <v>218488</v>
      </c>
    </row>
    <row r="108" spans="2:7" s="56" customFormat="1" ht="20.399999999999999" x14ac:dyDescent="0.2">
      <c r="B108" s="552" t="s">
        <v>352</v>
      </c>
      <c r="C108" s="201"/>
      <c r="D108" s="201"/>
      <c r="E108" s="258"/>
      <c r="F108" s="160"/>
      <c r="G108" s="201">
        <f t="shared" si="6"/>
        <v>0</v>
      </c>
    </row>
    <row r="109" spans="2:7" s="56" customFormat="1" x14ac:dyDescent="0.2">
      <c r="B109" s="552" t="s">
        <v>749</v>
      </c>
      <c r="C109" s="201">
        <v>218488</v>
      </c>
      <c r="D109" s="201"/>
      <c r="E109" s="258"/>
      <c r="F109" s="160"/>
      <c r="G109" s="201"/>
    </row>
    <row r="110" spans="2:7" s="56" customFormat="1" x14ac:dyDescent="0.2">
      <c r="B110" s="552" t="s">
        <v>353</v>
      </c>
      <c r="C110" s="201"/>
      <c r="D110" s="201"/>
      <c r="E110" s="258"/>
      <c r="F110" s="160"/>
      <c r="G110" s="201">
        <f t="shared" si="6"/>
        <v>0</v>
      </c>
    </row>
    <row r="111" spans="2:7" s="56" customFormat="1" ht="20.399999999999999" x14ac:dyDescent="0.2">
      <c r="B111" s="552" t="s">
        <v>354</v>
      </c>
      <c r="C111" s="201"/>
      <c r="D111" s="201"/>
      <c r="E111" s="258"/>
      <c r="F111" s="160"/>
      <c r="G111" s="201">
        <f t="shared" si="6"/>
        <v>0</v>
      </c>
    </row>
    <row r="112" spans="2:7" s="56" customFormat="1" x14ac:dyDescent="0.2">
      <c r="B112" s="552" t="s">
        <v>353</v>
      </c>
      <c r="C112" s="201"/>
      <c r="D112" s="201"/>
      <c r="E112" s="258"/>
      <c r="F112" s="160"/>
      <c r="G112" s="201">
        <f t="shared" si="6"/>
        <v>0</v>
      </c>
    </row>
    <row r="113" spans="2:7" s="56" customFormat="1" x14ac:dyDescent="0.2">
      <c r="B113" s="552" t="s">
        <v>355</v>
      </c>
      <c r="C113" s="201"/>
      <c r="D113" s="201"/>
      <c r="E113" s="258"/>
      <c r="F113" s="160"/>
      <c r="G113" s="201">
        <f t="shared" si="6"/>
        <v>0</v>
      </c>
    </row>
    <row r="114" spans="2:7" s="56" customFormat="1" ht="20.399999999999999" x14ac:dyDescent="0.2">
      <c r="B114" s="552" t="s">
        <v>356</v>
      </c>
      <c r="C114" s="201"/>
      <c r="D114" s="201"/>
      <c r="E114" s="258"/>
      <c r="F114" s="160"/>
      <c r="G114" s="201">
        <f t="shared" si="6"/>
        <v>0</v>
      </c>
    </row>
    <row r="115" spans="2:7" s="56" customFormat="1" x14ac:dyDescent="0.2">
      <c r="B115" s="635">
        <v>42369</v>
      </c>
      <c r="C115" s="160">
        <f>C96+C97-C107</f>
        <v>2894491</v>
      </c>
      <c r="D115" s="160">
        <f>D96+D97-D107</f>
        <v>9069218</v>
      </c>
      <c r="E115" s="160">
        <f>E96+E97-E107</f>
        <v>1752024</v>
      </c>
      <c r="F115" s="160">
        <f>F96+F97-F107</f>
        <v>0</v>
      </c>
      <c r="G115" s="160">
        <f t="shared" si="6"/>
        <v>13715733</v>
      </c>
    </row>
    <row r="116" spans="2:7" s="56" customFormat="1" x14ac:dyDescent="0.2"/>
    <row r="117" spans="2:7" s="56" customFormat="1" x14ac:dyDescent="0.2"/>
    <row r="118" spans="2:7" s="56" customFormat="1" ht="13.2" x14ac:dyDescent="0.25">
      <c r="B118" s="535" t="s">
        <v>982</v>
      </c>
    </row>
    <row r="119" spans="2:7" s="56" customFormat="1" x14ac:dyDescent="0.2">
      <c r="C119" s="771"/>
      <c r="D119" s="771"/>
      <c r="E119" s="771"/>
    </row>
    <row r="120" spans="2:7" s="56" customFormat="1" x14ac:dyDescent="0.2">
      <c r="B120" s="687" t="s">
        <v>416</v>
      </c>
      <c r="C120" s="623">
        <f>'[7]Dane podstawowe'!B9</f>
        <v>42735</v>
      </c>
      <c r="D120" s="623">
        <f>'[7]Dane podstawowe'!B14</f>
        <v>42369</v>
      </c>
    </row>
    <row r="121" spans="2:7" s="56" customFormat="1" ht="20.399999999999999" x14ac:dyDescent="0.2">
      <c r="B121" s="552" t="s">
        <v>252</v>
      </c>
      <c r="C121" s="258">
        <v>11844</v>
      </c>
      <c r="D121" s="258">
        <v>660720</v>
      </c>
    </row>
    <row r="122" spans="2:7" s="56" customFormat="1" hidden="1" x14ac:dyDescent="0.2">
      <c r="B122" s="207" t="s">
        <v>346</v>
      </c>
      <c r="C122" s="258"/>
      <c r="D122" s="258"/>
    </row>
    <row r="123" spans="2:7" s="56" customFormat="1" hidden="1" x14ac:dyDescent="0.2">
      <c r="B123" s="207" t="s">
        <v>346</v>
      </c>
      <c r="C123" s="258"/>
      <c r="D123" s="258"/>
    </row>
    <row r="124" spans="2:7" s="56" customFormat="1" x14ac:dyDescent="0.2">
      <c r="B124" s="73" t="s">
        <v>26</v>
      </c>
      <c r="C124" s="116">
        <f>SUM(C121:C123)</f>
        <v>11844</v>
      </c>
      <c r="D124" s="116">
        <f>SUM(D121:D123)</f>
        <v>660720</v>
      </c>
    </row>
    <row r="125" spans="2:7" s="56" customFormat="1" x14ac:dyDescent="0.2">
      <c r="C125" s="404">
        <f>Pasywa!D10-C124</f>
        <v>0</v>
      </c>
      <c r="D125" s="404">
        <f>Pasywa!E10-D124</f>
        <v>0</v>
      </c>
    </row>
    <row r="126" spans="2:7" s="56" customFormat="1" x14ac:dyDescent="0.2"/>
    <row r="127" spans="2:7" s="56" customFormat="1" ht="13.2" x14ac:dyDescent="0.25">
      <c r="B127" s="535" t="s">
        <v>983</v>
      </c>
    </row>
    <row r="129" spans="2:4" x14ac:dyDescent="0.2">
      <c r="B129" s="690" t="s">
        <v>416</v>
      </c>
      <c r="C129" s="623">
        <f>C120</f>
        <v>42735</v>
      </c>
      <c r="D129" s="623">
        <f>D120</f>
        <v>42369</v>
      </c>
    </row>
    <row r="130" spans="2:4" x14ac:dyDescent="0.2">
      <c r="B130" s="603" t="s">
        <v>227</v>
      </c>
      <c r="C130" s="419">
        <f>D135</f>
        <v>520352</v>
      </c>
      <c r="D130" s="419">
        <v>856318</v>
      </c>
    </row>
    <row r="131" spans="2:4" x14ac:dyDescent="0.2">
      <c r="B131" s="139" t="s">
        <v>228</v>
      </c>
      <c r="C131" s="425"/>
      <c r="D131" s="425"/>
    </row>
    <row r="132" spans="2:4" x14ac:dyDescent="0.2">
      <c r="B132" s="139" t="s">
        <v>229</v>
      </c>
      <c r="C132" s="425"/>
      <c r="D132" s="425"/>
    </row>
    <row r="133" spans="2:4" ht="20.399999999999999" x14ac:dyDescent="0.2">
      <c r="B133" s="601" t="s">
        <v>230</v>
      </c>
      <c r="C133" s="425">
        <v>65208</v>
      </c>
      <c r="D133" s="425">
        <f>-595150-1812</f>
        <v>-596962</v>
      </c>
    </row>
    <row r="134" spans="2:4" x14ac:dyDescent="0.2">
      <c r="B134" s="139" t="s">
        <v>231</v>
      </c>
      <c r="C134" s="425">
        <v>433276</v>
      </c>
      <c r="D134" s="425">
        <f>259184+1812</f>
        <v>260996</v>
      </c>
    </row>
    <row r="135" spans="2:4" x14ac:dyDescent="0.2">
      <c r="B135" s="183" t="s">
        <v>232</v>
      </c>
      <c r="C135" s="419">
        <f>SUM(C130:C134)</f>
        <v>1018836</v>
      </c>
      <c r="D135" s="419">
        <f>SUM(D130:D134)</f>
        <v>520352</v>
      </c>
    </row>
    <row r="136" spans="2:4" x14ac:dyDescent="0.2">
      <c r="C136" s="481">
        <f>Pasywa!D12-C135</f>
        <v>0</v>
      </c>
      <c r="D136" s="481">
        <f>Pasywa!E12-D135</f>
        <v>0</v>
      </c>
    </row>
  </sheetData>
  <mergeCells count="3">
    <mergeCell ref="C4:E4"/>
    <mergeCell ref="B5:C5"/>
    <mergeCell ref="C119:E119"/>
  </mergeCells>
  <phoneticPr fontId="27" type="noConversion"/>
  <pageMargins left="0.75" right="0.75" top="1" bottom="1" header="0.5" footer="0.5"/>
  <pageSetup paperSize="9" scale="60" fitToHeight="2" orientation="portrait" r:id="rId1"/>
  <headerFooter alignWithMargins="0"/>
  <rowBreaks count="1" manualBreakCount="1">
    <brk id="71" min="1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theme="0"/>
  </sheetPr>
  <dimension ref="A1:J63"/>
  <sheetViews>
    <sheetView showGridLines="0" view="pageBreakPreview" topLeftCell="A19" zoomScaleNormal="100" zoomScaleSheetLayoutView="100" workbookViewId="0">
      <selection activeCell="S62" sqref="S62"/>
    </sheetView>
  </sheetViews>
  <sheetFormatPr defaultColWidth="9.109375" defaultRowHeight="13.2" x14ac:dyDescent="0.25"/>
  <cols>
    <col min="1" max="1" width="41.44140625" style="45" customWidth="1"/>
    <col min="2" max="2" width="12.5546875" style="45" customWidth="1"/>
    <col min="3" max="4" width="13" style="45" customWidth="1"/>
    <col min="5" max="5" width="12.6640625" style="45" customWidth="1"/>
    <col min="6" max="6" width="16.6640625" style="45" customWidth="1"/>
    <col min="7" max="16384" width="9.109375" style="45"/>
  </cols>
  <sheetData>
    <row r="1" spans="1:10" x14ac:dyDescent="0.25">
      <c r="A1" s="70"/>
    </row>
    <row r="2" spans="1:10" s="3" customFormat="1" x14ac:dyDescent="0.25">
      <c r="A2" s="535" t="s">
        <v>984</v>
      </c>
    </row>
    <row r="3" spans="1:10" s="3" customFormat="1" ht="10.199999999999999" x14ac:dyDescent="0.2">
      <c r="A3" s="136"/>
      <c r="B3" s="136"/>
      <c r="C3" s="136"/>
      <c r="D3" s="136"/>
      <c r="E3" s="136"/>
      <c r="F3" s="136"/>
      <c r="G3" s="136"/>
      <c r="H3" s="177"/>
      <c r="I3" s="177"/>
      <c r="J3" s="177"/>
    </row>
    <row r="4" spans="1:10" s="3" customFormat="1" ht="10.199999999999999" x14ac:dyDescent="0.2"/>
    <row r="5" spans="1:10" s="6" customFormat="1" ht="10.199999999999999" x14ac:dyDescent="0.2">
      <c r="A5" s="156" t="s">
        <v>416</v>
      </c>
      <c r="B5" s="623">
        <f>'Dane podstawowe'!$B$9</f>
        <v>42735</v>
      </c>
      <c r="C5" s="623">
        <f>'Dane podstawowe'!$B$14</f>
        <v>42369</v>
      </c>
      <c r="D5" s="3"/>
    </row>
    <row r="6" spans="1:10" s="3" customFormat="1" ht="10.199999999999999" x14ac:dyDescent="0.2">
      <c r="A6" s="93" t="s">
        <v>360</v>
      </c>
      <c r="B6" s="201"/>
      <c r="C6" s="201"/>
    </row>
    <row r="7" spans="1:10" s="3" customFormat="1" ht="10.199999999999999" x14ac:dyDescent="0.2">
      <c r="A7" s="93" t="s">
        <v>361</v>
      </c>
      <c r="B7" s="201"/>
      <c r="C7" s="201"/>
    </row>
    <row r="8" spans="1:10" s="3" customFormat="1" ht="10.199999999999999" x14ac:dyDescent="0.2">
      <c r="A8" s="93" t="s">
        <v>93</v>
      </c>
      <c r="B8" s="201"/>
      <c r="C8" s="201"/>
    </row>
    <row r="9" spans="1:10" s="56" customFormat="1" ht="10.199999999999999" x14ac:dyDescent="0.2">
      <c r="A9" s="516" t="s">
        <v>302</v>
      </c>
      <c r="B9" s="201"/>
      <c r="C9" s="201"/>
    </row>
    <row r="10" spans="1:10" s="56" customFormat="1" ht="10.199999999999999" x14ac:dyDescent="0.2">
      <c r="A10" s="516" t="s">
        <v>787</v>
      </c>
      <c r="B10" s="201">
        <v>36680</v>
      </c>
      <c r="C10" s="201">
        <v>17036</v>
      </c>
    </row>
    <row r="11" spans="1:10" s="56" customFormat="1" ht="10.199999999999999" hidden="1" x14ac:dyDescent="0.2">
      <c r="A11" s="516" t="s">
        <v>346</v>
      </c>
      <c r="B11" s="201"/>
      <c r="C11" s="201"/>
    </row>
    <row r="12" spans="1:10" s="56" customFormat="1" ht="10.199999999999999" hidden="1" x14ac:dyDescent="0.2">
      <c r="A12" s="516" t="s">
        <v>346</v>
      </c>
      <c r="B12" s="201"/>
      <c r="C12" s="201"/>
    </row>
    <row r="13" spans="1:10" s="3" customFormat="1" ht="10.199999999999999" x14ac:dyDescent="0.2">
      <c r="A13" s="73" t="s">
        <v>362</v>
      </c>
      <c r="B13" s="160">
        <f>SUM(B6:B12)-B9</f>
        <v>36680</v>
      </c>
      <c r="C13" s="160">
        <f>SUM(C6:C12)-C9</f>
        <v>17036</v>
      </c>
    </row>
    <row r="14" spans="1:10" s="3" customFormat="1" ht="10.199999999999999" x14ac:dyDescent="0.2">
      <c r="A14" s="153" t="s">
        <v>94</v>
      </c>
      <c r="B14" s="201">
        <v>0</v>
      </c>
      <c r="C14" s="201">
        <v>0</v>
      </c>
    </row>
    <row r="15" spans="1:10" s="3" customFormat="1" ht="10.199999999999999" x14ac:dyDescent="0.2">
      <c r="A15" s="153" t="s">
        <v>95</v>
      </c>
      <c r="B15" s="201">
        <v>36680</v>
      </c>
      <c r="C15" s="201">
        <v>17036</v>
      </c>
    </row>
    <row r="16" spans="1:10" s="3" customFormat="1" ht="10.199999999999999" x14ac:dyDescent="0.2">
      <c r="B16" s="397">
        <f>(Pasywa!D14+Pasywa!D22)-'NOTA 23 Kredyty i pożyczki'!B13</f>
        <v>0</v>
      </c>
      <c r="C16" s="397">
        <f>(Pasywa!E14+Pasywa!E22)-'NOTA 23 Kredyty i pożyczki'!C13</f>
        <v>0</v>
      </c>
    </row>
    <row r="17" spans="1:6" s="3" customFormat="1" ht="10.199999999999999" x14ac:dyDescent="0.2"/>
    <row r="18" spans="1:6" s="3" customFormat="1" ht="10.199999999999999" x14ac:dyDescent="0.2">
      <c r="A18" s="66" t="s">
        <v>101</v>
      </c>
    </row>
    <row r="19" spans="1:6" s="3" customFormat="1" ht="10.199999999999999" x14ac:dyDescent="0.2"/>
    <row r="20" spans="1:6" s="3" customFormat="1" ht="10.199999999999999" x14ac:dyDescent="0.2">
      <c r="A20" s="156" t="s">
        <v>416</v>
      </c>
      <c r="B20" s="623">
        <f>'Dane podstawowe'!$B$9</f>
        <v>42735</v>
      </c>
      <c r="C20" s="623">
        <f>'Dane podstawowe'!$B$14</f>
        <v>42369</v>
      </c>
    </row>
    <row r="21" spans="1:6" s="3" customFormat="1" ht="10.199999999999999" x14ac:dyDescent="0.2">
      <c r="A21" s="178" t="s">
        <v>97</v>
      </c>
      <c r="B21" s="159">
        <v>36680</v>
      </c>
      <c r="C21" s="159">
        <v>17036</v>
      </c>
    </row>
    <row r="22" spans="1:6" s="3" customFormat="1" ht="10.199999999999999" x14ac:dyDescent="0.2">
      <c r="A22" s="178" t="s">
        <v>98</v>
      </c>
      <c r="B22" s="159">
        <f>SUM(B23:B25)</f>
        <v>0</v>
      </c>
      <c r="C22" s="159">
        <f>SUM(C23:C25)</f>
        <v>0</v>
      </c>
    </row>
    <row r="23" spans="1:6" s="3" customFormat="1" ht="10.199999999999999" x14ac:dyDescent="0.2">
      <c r="A23" s="184" t="s">
        <v>102</v>
      </c>
      <c r="B23" s="159"/>
      <c r="C23" s="159"/>
    </row>
    <row r="24" spans="1:6" s="3" customFormat="1" ht="10.199999999999999" x14ac:dyDescent="0.2">
      <c r="A24" s="184" t="s">
        <v>103</v>
      </c>
      <c r="B24" s="159"/>
      <c r="C24" s="159"/>
    </row>
    <row r="25" spans="1:6" s="3" customFormat="1" ht="10.199999999999999" x14ac:dyDescent="0.2">
      <c r="A25" s="184" t="s">
        <v>99</v>
      </c>
      <c r="B25" s="159"/>
      <c r="C25" s="159"/>
    </row>
    <row r="26" spans="1:6" s="3" customFormat="1" ht="10.199999999999999" x14ac:dyDescent="0.2">
      <c r="A26" s="14" t="s">
        <v>100</v>
      </c>
      <c r="B26" s="160">
        <f>SUM(B21:B22)</f>
        <v>36680</v>
      </c>
      <c r="C26" s="160">
        <f>SUM(C21:C22)</f>
        <v>17036</v>
      </c>
    </row>
    <row r="27" spans="1:6" s="3" customFormat="1" ht="10.199999999999999" x14ac:dyDescent="0.2">
      <c r="A27" s="187"/>
      <c r="B27" s="397">
        <f>B13-B26</f>
        <v>0</v>
      </c>
      <c r="C27" s="397">
        <f>C13-C26</f>
        <v>0</v>
      </c>
    </row>
    <row r="28" spans="1:6" s="3" customFormat="1" ht="10.199999999999999" x14ac:dyDescent="0.2"/>
    <row r="29" spans="1:6" s="3" customFormat="1" ht="10.199999999999999" x14ac:dyDescent="0.2">
      <c r="A29" s="66" t="s">
        <v>895</v>
      </c>
    </row>
    <row r="30" spans="1:6" s="3" customFormat="1" ht="10.199999999999999" x14ac:dyDescent="0.2">
      <c r="A30" s="66"/>
    </row>
    <row r="31" spans="1:6" s="3" customFormat="1" ht="25.5" customHeight="1" x14ac:dyDescent="0.2">
      <c r="A31" s="757" t="s">
        <v>363</v>
      </c>
      <c r="B31" s="757" t="s">
        <v>364</v>
      </c>
      <c r="C31" s="757" t="s">
        <v>365</v>
      </c>
      <c r="D31" s="757" t="s">
        <v>366</v>
      </c>
      <c r="E31" s="757" t="s">
        <v>604</v>
      </c>
      <c r="F31" s="755" t="s">
        <v>107</v>
      </c>
    </row>
    <row r="32" spans="1:6" s="3" customFormat="1" ht="18.899999999999999" customHeight="1" x14ac:dyDescent="0.2">
      <c r="A32" s="757"/>
      <c r="B32" s="757"/>
      <c r="C32" s="757"/>
      <c r="D32" s="757"/>
      <c r="E32" s="757"/>
      <c r="F32" s="756"/>
    </row>
    <row r="33" spans="1:6" s="3" customFormat="1" ht="10.199999999999999" x14ac:dyDescent="0.2">
      <c r="A33" s="449" t="s">
        <v>813</v>
      </c>
      <c r="B33" s="208">
        <v>36680</v>
      </c>
      <c r="C33" s="208">
        <v>36680</v>
      </c>
      <c r="D33" s="450"/>
      <c r="E33" s="138"/>
      <c r="F33" s="315"/>
    </row>
    <row r="34" spans="1:6" s="3" customFormat="1" ht="10.199999999999999" hidden="1" x14ac:dyDescent="0.2">
      <c r="A34" s="449"/>
      <c r="B34" s="208"/>
      <c r="C34" s="208"/>
      <c r="D34" s="450"/>
      <c r="E34" s="138"/>
      <c r="F34" s="315"/>
    </row>
    <row r="35" spans="1:6" s="3" customFormat="1" ht="10.199999999999999" hidden="1" x14ac:dyDescent="0.2">
      <c r="A35" s="449"/>
      <c r="B35" s="208"/>
      <c r="C35" s="208"/>
      <c r="D35" s="450"/>
      <c r="E35" s="138"/>
      <c r="F35" s="315"/>
    </row>
    <row r="36" spans="1:6" s="3" customFormat="1" ht="10.199999999999999" hidden="1" x14ac:dyDescent="0.2">
      <c r="A36" s="444"/>
      <c r="B36" s="208"/>
      <c r="C36" s="208"/>
      <c r="D36" s="451"/>
      <c r="E36" s="138"/>
      <c r="F36" s="315"/>
    </row>
    <row r="37" spans="1:6" s="3" customFormat="1" ht="10.199999999999999" x14ac:dyDescent="0.2">
      <c r="A37" s="443" t="s">
        <v>636</v>
      </c>
      <c r="B37" s="190">
        <f>SUM(B33:B36)</f>
        <v>36680</v>
      </c>
      <c r="C37" s="190">
        <f>SUM(C33:C36)</f>
        <v>36680</v>
      </c>
      <c r="D37" s="451"/>
      <c r="E37" s="138"/>
      <c r="F37" s="315"/>
    </row>
    <row r="38" spans="1:6" s="3" customFormat="1" ht="10.199999999999999" x14ac:dyDescent="0.2">
      <c r="C38" s="397">
        <f>B26-C37</f>
        <v>0</v>
      </c>
      <c r="F38" s="316"/>
    </row>
    <row r="39" spans="1:6" s="3" customFormat="1" ht="10.199999999999999" x14ac:dyDescent="0.2">
      <c r="A39" s="66" t="s">
        <v>865</v>
      </c>
    </row>
    <row r="40" spans="1:6" s="3" customFormat="1" ht="10.199999999999999" x14ac:dyDescent="0.2">
      <c r="A40" s="66"/>
    </row>
    <row r="41" spans="1:6" s="3" customFormat="1" ht="24.75" customHeight="1" x14ac:dyDescent="0.2">
      <c r="A41" s="757" t="s">
        <v>363</v>
      </c>
      <c r="B41" s="757" t="s">
        <v>364</v>
      </c>
      <c r="C41" s="757" t="s">
        <v>365</v>
      </c>
      <c r="D41" s="757" t="s">
        <v>366</v>
      </c>
      <c r="E41" s="757" t="s">
        <v>604</v>
      </c>
      <c r="F41" s="755" t="s">
        <v>107</v>
      </c>
    </row>
    <row r="42" spans="1:6" s="3" customFormat="1" ht="30.75" customHeight="1" x14ac:dyDescent="0.2">
      <c r="A42" s="757"/>
      <c r="B42" s="757"/>
      <c r="C42" s="757"/>
      <c r="D42" s="757"/>
      <c r="E42" s="757"/>
      <c r="F42" s="756"/>
    </row>
    <row r="43" spans="1:6" s="3" customFormat="1" ht="10.199999999999999" x14ac:dyDescent="0.2">
      <c r="A43" s="449" t="s">
        <v>813</v>
      </c>
      <c r="B43" s="208">
        <v>17035.86</v>
      </c>
      <c r="C43" s="208">
        <v>17035.86</v>
      </c>
      <c r="D43" s="450"/>
      <c r="E43" s="138"/>
      <c r="F43" s="315"/>
    </row>
    <row r="44" spans="1:6" s="3" customFormat="1" ht="10.199999999999999" hidden="1" x14ac:dyDescent="0.2">
      <c r="A44" s="449"/>
      <c r="B44" s="208"/>
      <c r="C44" s="208"/>
      <c r="D44" s="450"/>
      <c r="E44" s="138"/>
      <c r="F44" s="315"/>
    </row>
    <row r="45" spans="1:6" s="3" customFormat="1" ht="10.199999999999999" hidden="1" x14ac:dyDescent="0.2">
      <c r="A45" s="449"/>
      <c r="B45" s="208"/>
      <c r="C45" s="208"/>
      <c r="D45" s="450"/>
      <c r="E45" s="138"/>
      <c r="F45" s="315"/>
    </row>
    <row r="46" spans="1:6" s="3" customFormat="1" ht="10.199999999999999" hidden="1" x14ac:dyDescent="0.2">
      <c r="A46" s="444"/>
      <c r="B46" s="208"/>
      <c r="C46" s="208"/>
      <c r="D46" s="451"/>
      <c r="E46" s="138"/>
      <c r="F46" s="315"/>
    </row>
    <row r="47" spans="1:6" s="3" customFormat="1" ht="10.199999999999999" x14ac:dyDescent="0.2">
      <c r="A47" s="443" t="s">
        <v>636</v>
      </c>
      <c r="B47" s="190">
        <f>SUM(B43:B46)</f>
        <v>17035.86</v>
      </c>
      <c r="C47" s="190">
        <f>SUM(C43:C46)</f>
        <v>17035.86</v>
      </c>
      <c r="D47" s="451"/>
      <c r="E47" s="138"/>
      <c r="F47" s="315"/>
    </row>
    <row r="48" spans="1:6" s="3" customFormat="1" ht="10.199999999999999" x14ac:dyDescent="0.2">
      <c r="C48" s="397">
        <f>C26-C47</f>
        <v>0.13999999999941792</v>
      </c>
    </row>
    <row r="49" spans="1:5" s="3" customFormat="1" ht="10.199999999999999" x14ac:dyDescent="0.2"/>
    <row r="50" spans="1:5" s="3" customFormat="1" ht="10.199999999999999" x14ac:dyDescent="0.2">
      <c r="A50" s="66" t="s">
        <v>106</v>
      </c>
    </row>
    <row r="51" spans="1:5" s="3" customFormat="1" ht="10.199999999999999" x14ac:dyDescent="0.2"/>
    <row r="52" spans="1:5" s="3" customFormat="1" ht="10.199999999999999" x14ac:dyDescent="0.2">
      <c r="A52" s="757" t="s">
        <v>416</v>
      </c>
      <c r="B52" s="781">
        <f>'Dane podstawowe'!$B$9</f>
        <v>42735</v>
      </c>
      <c r="C52" s="781"/>
      <c r="D52" s="781">
        <f>'Dane podstawowe'!$B$14</f>
        <v>42369</v>
      </c>
      <c r="E52" s="781"/>
    </row>
    <row r="53" spans="1:5" s="3" customFormat="1" ht="20.399999999999999" x14ac:dyDescent="0.2">
      <c r="A53" s="757"/>
      <c r="B53" s="92" t="s">
        <v>104</v>
      </c>
      <c r="C53" s="92" t="s">
        <v>105</v>
      </c>
      <c r="D53" s="92" t="s">
        <v>104</v>
      </c>
      <c r="E53" s="92" t="s">
        <v>105</v>
      </c>
    </row>
    <row r="54" spans="1:5" s="3" customFormat="1" ht="10.199999999999999" x14ac:dyDescent="0.2">
      <c r="A54" s="178" t="s">
        <v>14</v>
      </c>
      <c r="B54" s="106">
        <v>36680</v>
      </c>
      <c r="C54" s="106">
        <v>36680</v>
      </c>
      <c r="D54" s="106">
        <v>17035.86</v>
      </c>
      <c r="E54" s="106">
        <v>17035.86</v>
      </c>
    </row>
    <row r="55" spans="1:5" s="3" customFormat="1" ht="10.199999999999999" x14ac:dyDescent="0.2">
      <c r="A55" s="178" t="s">
        <v>15</v>
      </c>
      <c r="B55" s="159"/>
      <c r="C55" s="159"/>
      <c r="D55" s="159"/>
      <c r="E55" s="159"/>
    </row>
    <row r="56" spans="1:5" s="3" customFormat="1" ht="10.199999999999999" x14ac:dyDescent="0.2">
      <c r="A56" s="178" t="s">
        <v>16</v>
      </c>
      <c r="B56" s="159"/>
      <c r="C56" s="159"/>
      <c r="D56" s="159"/>
      <c r="E56" s="159"/>
    </row>
    <row r="57" spans="1:5" s="3" customFormat="1" ht="10.199999999999999" x14ac:dyDescent="0.2">
      <c r="A57" s="178" t="s">
        <v>489</v>
      </c>
      <c r="B57" s="159"/>
      <c r="C57" s="159"/>
      <c r="D57" s="159"/>
      <c r="E57" s="159"/>
    </row>
    <row r="58" spans="1:5" s="3" customFormat="1" ht="10.199999999999999" x14ac:dyDescent="0.2">
      <c r="A58" s="178" t="s">
        <v>490</v>
      </c>
      <c r="B58" s="159"/>
      <c r="C58" s="159"/>
      <c r="D58" s="159"/>
      <c r="E58" s="159"/>
    </row>
    <row r="59" spans="1:5" s="3" customFormat="1" ht="10.199999999999999" x14ac:dyDescent="0.2">
      <c r="A59" s="14" t="s">
        <v>100</v>
      </c>
      <c r="B59" s="317" t="s">
        <v>96</v>
      </c>
      <c r="C59" s="160">
        <f>SUM(C54:C58)</f>
        <v>36680</v>
      </c>
      <c r="D59" s="317" t="s">
        <v>96</v>
      </c>
      <c r="E59" s="160">
        <f>SUM(E54:E58)</f>
        <v>17035.86</v>
      </c>
    </row>
    <row r="60" spans="1:5" s="3" customFormat="1" ht="10.199999999999999" x14ac:dyDescent="0.2">
      <c r="C60" s="397">
        <f>B13-C59</f>
        <v>0</v>
      </c>
      <c r="E60" s="397">
        <f>C13-E59</f>
        <v>0.13999999999941792</v>
      </c>
    </row>
    <row r="61" spans="1:5" s="3" customFormat="1" ht="10.199999999999999" x14ac:dyDescent="0.2"/>
    <row r="62" spans="1:5" s="3" customFormat="1" ht="10.199999999999999" x14ac:dyDescent="0.2"/>
    <row r="63" spans="1:5" s="3" customFormat="1" ht="10.199999999999999" x14ac:dyDescent="0.2"/>
  </sheetData>
  <mergeCells count="15">
    <mergeCell ref="A52:A53"/>
    <mergeCell ref="B52:C52"/>
    <mergeCell ref="D52:E52"/>
    <mergeCell ref="E41:E42"/>
    <mergeCell ref="A41:A42"/>
    <mergeCell ref="B41:B42"/>
    <mergeCell ref="C41:C42"/>
    <mergeCell ref="D41:D42"/>
    <mergeCell ref="F41:F42"/>
    <mergeCell ref="E31:E32"/>
    <mergeCell ref="F31:F32"/>
    <mergeCell ref="A31:A32"/>
    <mergeCell ref="B31:B32"/>
    <mergeCell ref="C31:C32"/>
    <mergeCell ref="D31:D32"/>
  </mergeCells>
  <phoneticPr fontId="27" type="noConversion"/>
  <pageMargins left="0.75" right="0.75" top="1" bottom="1" header="0.5" footer="0.5"/>
  <pageSetup paperSize="9" scale="7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6"/>
  <sheetViews>
    <sheetView showGridLines="0" view="pageBreakPreview" zoomScaleNormal="100" zoomScaleSheetLayoutView="100" workbookViewId="0">
      <selection activeCell="E16" sqref="E16"/>
    </sheetView>
  </sheetViews>
  <sheetFormatPr defaultRowHeight="13.2" x14ac:dyDescent="0.25"/>
  <cols>
    <col min="1" max="1" width="60.44140625" customWidth="1"/>
    <col min="2" max="7" width="15.5546875" customWidth="1"/>
  </cols>
  <sheetData>
    <row r="1" spans="1:6" s="165" customFormat="1" ht="10.199999999999999" x14ac:dyDescent="0.25"/>
    <row r="2" spans="1:6" s="165" customFormat="1" x14ac:dyDescent="0.25">
      <c r="A2" s="535" t="s">
        <v>985</v>
      </c>
      <c r="D2" s="517"/>
      <c r="E2" s="517"/>
      <c r="F2" s="478"/>
    </row>
    <row r="3" spans="1:6" s="165" customFormat="1" ht="10.199999999999999" x14ac:dyDescent="0.25">
      <c r="A3" s="163"/>
      <c r="D3" s="478"/>
      <c r="E3" s="478"/>
      <c r="F3" s="478"/>
    </row>
    <row r="4" spans="1:6" s="165" customFormat="1" ht="10.199999999999999" x14ac:dyDescent="0.25">
      <c r="A4" s="166"/>
      <c r="B4" s="623">
        <f>'[7]Dane podstawowe'!$B$9</f>
        <v>42735</v>
      </c>
      <c r="C4" s="623">
        <f>'[7]Dane podstawowe'!$B$14</f>
        <v>42369</v>
      </c>
    </row>
    <row r="5" spans="1:6" s="165" customFormat="1" ht="10.199999999999999" x14ac:dyDescent="0.25">
      <c r="A5" s="147" t="s">
        <v>303</v>
      </c>
      <c r="B5" s="647">
        <f>38751+54190</f>
        <v>92941</v>
      </c>
      <c r="C5" s="647">
        <v>76190.490000000005</v>
      </c>
    </row>
    <row r="6" spans="1:6" s="165" customFormat="1" ht="10.199999999999999" x14ac:dyDescent="0.25">
      <c r="A6" s="147" t="s">
        <v>292</v>
      </c>
      <c r="B6" s="648"/>
      <c r="C6" s="648"/>
    </row>
    <row r="7" spans="1:6" s="165" customFormat="1" ht="10.199999999999999" x14ac:dyDescent="0.25">
      <c r="A7" s="147" t="s">
        <v>304</v>
      </c>
      <c r="B7" s="648"/>
      <c r="C7" s="648"/>
    </row>
    <row r="8" spans="1:6" s="165" customFormat="1" ht="10.199999999999999" x14ac:dyDescent="0.25">
      <c r="A8" s="147" t="s">
        <v>632</v>
      </c>
      <c r="B8" s="648"/>
      <c r="C8" s="648"/>
    </row>
    <row r="9" spans="1:6" s="165" customFormat="1" ht="10.199999999999999" x14ac:dyDescent="0.25">
      <c r="A9" s="147" t="s">
        <v>633</v>
      </c>
      <c r="B9" s="648"/>
      <c r="C9" s="648"/>
    </row>
    <row r="10" spans="1:6" s="165" customFormat="1" ht="10.199999999999999" x14ac:dyDescent="0.25">
      <c r="A10" s="147" t="s">
        <v>634</v>
      </c>
      <c r="B10" s="648"/>
      <c r="C10" s="648"/>
    </row>
    <row r="11" spans="1:6" s="165" customFormat="1" ht="10.199999999999999" x14ac:dyDescent="0.25">
      <c r="A11" s="170" t="s">
        <v>305</v>
      </c>
      <c r="B11" s="646">
        <f>SUM(B5:B10)</f>
        <v>92941</v>
      </c>
      <c r="C11" s="646">
        <f>SUM(C5:C10)</f>
        <v>76190.490000000005</v>
      </c>
    </row>
    <row r="12" spans="1:6" s="165" customFormat="1" ht="10.199999999999999" x14ac:dyDescent="0.25">
      <c r="A12" s="482" t="s">
        <v>643</v>
      </c>
      <c r="B12" s="648">
        <v>44003</v>
      </c>
      <c r="C12" s="648">
        <v>38751</v>
      </c>
    </row>
    <row r="13" spans="1:6" s="165" customFormat="1" ht="10.199999999999999" x14ac:dyDescent="0.25">
      <c r="A13" s="482" t="s">
        <v>644</v>
      </c>
      <c r="B13" s="648">
        <f>38751+10187</f>
        <v>48938</v>
      </c>
      <c r="C13" s="648">
        <v>37439</v>
      </c>
    </row>
    <row r="14" spans="1:6" s="165" customFormat="1" ht="10.199999999999999" x14ac:dyDescent="0.25">
      <c r="A14" s="164"/>
      <c r="B14" s="415">
        <f>Pasywa!D15+Pasywa!D23-B11</f>
        <v>0</v>
      </c>
      <c r="C14" s="415">
        <f>Pasywa!E15+Pasywa!E23-C11</f>
        <v>-0.49000000000523869</v>
      </c>
    </row>
    <row r="15" spans="1:6" s="165" customFormat="1" ht="10.199999999999999" x14ac:dyDescent="0.25">
      <c r="B15" s="416"/>
      <c r="C15" s="417"/>
      <c r="E15" s="447"/>
    </row>
    <row r="16" spans="1:6" s="165" customFormat="1" ht="10.199999999999999" x14ac:dyDescent="0.25">
      <c r="A16" s="288" t="s">
        <v>671</v>
      </c>
      <c r="B16" s="416"/>
      <c r="C16" s="417"/>
      <c r="E16" s="447"/>
    </row>
    <row r="17" spans="1:5" s="165" customFormat="1" ht="10.199999999999999" x14ac:dyDescent="0.25">
      <c r="A17" s="288"/>
      <c r="B17" s="416"/>
      <c r="C17" s="417"/>
      <c r="E17" s="447"/>
    </row>
    <row r="18" spans="1:5" s="165" customFormat="1" ht="10.199999999999999" x14ac:dyDescent="0.25">
      <c r="A18" s="166" t="s">
        <v>416</v>
      </c>
      <c r="B18" s="623">
        <f>B4</f>
        <v>42735</v>
      </c>
      <c r="C18" s="623">
        <f>C4</f>
        <v>42369</v>
      </c>
    </row>
    <row r="19" spans="1:5" s="165" customFormat="1" ht="10.199999999999999" x14ac:dyDescent="0.25">
      <c r="A19" s="147" t="s">
        <v>672</v>
      </c>
      <c r="B19" s="648">
        <f>38751+10187</f>
        <v>48938</v>
      </c>
      <c r="C19" s="648">
        <v>37439.33</v>
      </c>
    </row>
    <row r="20" spans="1:5" s="165" customFormat="1" ht="10.199999999999999" x14ac:dyDescent="0.25">
      <c r="A20" s="147" t="s">
        <v>673</v>
      </c>
      <c r="B20" s="648">
        <f>B21+B22</f>
        <v>44003</v>
      </c>
      <c r="C20" s="648">
        <v>38751.160000000003</v>
      </c>
    </row>
    <row r="21" spans="1:5" s="165" customFormat="1" ht="10.199999999999999" x14ac:dyDescent="0.25">
      <c r="A21" s="147" t="s">
        <v>674</v>
      </c>
      <c r="B21" s="648">
        <v>44003</v>
      </c>
      <c r="C21" s="648">
        <v>38751</v>
      </c>
    </row>
    <row r="22" spans="1:5" s="165" customFormat="1" ht="10.199999999999999" x14ac:dyDescent="0.25">
      <c r="A22" s="147" t="s">
        <v>675</v>
      </c>
      <c r="B22" s="648"/>
      <c r="C22" s="648"/>
    </row>
    <row r="23" spans="1:5" s="165" customFormat="1" ht="10.199999999999999" x14ac:dyDescent="0.25">
      <c r="A23" s="174" t="s">
        <v>676</v>
      </c>
      <c r="B23" s="483">
        <f>B20+B19</f>
        <v>92941</v>
      </c>
      <c r="C23" s="483">
        <f>C20+C19</f>
        <v>76190.490000000005</v>
      </c>
    </row>
    <row r="24" spans="1:5" s="165" customFormat="1" ht="10.199999999999999" x14ac:dyDescent="0.25">
      <c r="B24" s="415">
        <f>B5-B23</f>
        <v>0</v>
      </c>
      <c r="C24" s="415">
        <f>C5-C23</f>
        <v>0</v>
      </c>
    </row>
    <row r="25" spans="1:5" s="165" customFormat="1" ht="10.199999999999999" x14ac:dyDescent="0.25">
      <c r="B25" s="416"/>
      <c r="C25" s="417"/>
    </row>
    <row r="26" spans="1:5" s="165" customFormat="1" ht="10.199999999999999" x14ac:dyDescent="0.25"/>
  </sheetData>
  <phoneticPr fontId="48" type="noConversion"/>
  <pageMargins left="0.7" right="0.7" top="0.75" bottom="0.75" header="0.3" footer="0.3"/>
  <pageSetup paperSize="9" scale="64" orientation="portrait" r:id="rId1"/>
  <headerFooter alignWithMargins="0"/>
  <colBreaks count="1" manualBreakCount="1">
    <brk id="6" min="1" max="143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>
    <tabColor theme="0"/>
  </sheetPr>
  <dimension ref="A1:I46"/>
  <sheetViews>
    <sheetView showGridLines="0" view="pageBreakPreview" zoomScaleNormal="100" zoomScaleSheetLayoutView="100" workbookViewId="0">
      <selection activeCell="C46" sqref="C46"/>
    </sheetView>
  </sheetViews>
  <sheetFormatPr defaultColWidth="9.109375" defaultRowHeight="13.2" x14ac:dyDescent="0.25"/>
  <cols>
    <col min="1" max="1" width="39" style="45" customWidth="1"/>
    <col min="2" max="2" width="15.33203125" style="45" customWidth="1"/>
    <col min="3" max="3" width="15" style="45" customWidth="1"/>
    <col min="4" max="4" width="14.44140625" style="45" customWidth="1"/>
    <col min="5" max="5" width="11" style="45" customWidth="1"/>
    <col min="6" max="6" width="10.5546875" style="45" customWidth="1"/>
    <col min="7" max="7" width="11.44140625" style="45" customWidth="1"/>
    <col min="8" max="8" width="10.44140625" style="45" customWidth="1"/>
    <col min="9" max="16384" width="9.109375" style="45"/>
  </cols>
  <sheetData>
    <row r="1" spans="1:9" x14ac:dyDescent="0.25">
      <c r="A1" s="70"/>
    </row>
    <row r="2" spans="1:9" s="3" customFormat="1" x14ac:dyDescent="0.25">
      <c r="A2" s="535" t="s">
        <v>986</v>
      </c>
    </row>
    <row r="3" spans="1:9" s="3" customFormat="1" ht="10.199999999999999" x14ac:dyDescent="0.2">
      <c r="A3" s="46"/>
    </row>
    <row r="4" spans="1:9" s="3" customFormat="1" ht="10.199999999999999" x14ac:dyDescent="0.2">
      <c r="A4" s="66" t="s">
        <v>441</v>
      </c>
    </row>
    <row r="5" spans="1:9" s="3" customFormat="1" ht="10.199999999999999" x14ac:dyDescent="0.2">
      <c r="A5" s="66"/>
    </row>
    <row r="6" spans="1:9" s="3" customFormat="1" ht="10.199999999999999" x14ac:dyDescent="0.2">
      <c r="A6" s="126" t="s">
        <v>416</v>
      </c>
      <c r="B6" s="623">
        <f>'Dane podstawowe'!$B$9</f>
        <v>42735</v>
      </c>
      <c r="C6" s="623">
        <f>'Dane podstawowe'!$B$14</f>
        <v>42369</v>
      </c>
    </row>
    <row r="7" spans="1:9" s="3" customFormat="1" ht="10.199999999999999" x14ac:dyDescent="0.2">
      <c r="A7" s="518" t="s">
        <v>441</v>
      </c>
      <c r="B7" s="519">
        <f>SUM(B8:B9)</f>
        <v>4988634</v>
      </c>
      <c r="C7" s="519">
        <f>SUM(C8:C9)</f>
        <v>5091660</v>
      </c>
    </row>
    <row r="8" spans="1:9" s="3" customFormat="1" ht="10.199999999999999" x14ac:dyDescent="0.2">
      <c r="A8" s="305" t="s">
        <v>605</v>
      </c>
      <c r="B8" s="106">
        <v>0</v>
      </c>
      <c r="C8" s="106">
        <v>0</v>
      </c>
    </row>
    <row r="9" spans="1:9" s="3" customFormat="1" ht="10.199999999999999" x14ac:dyDescent="0.2">
      <c r="A9" s="305" t="s">
        <v>606</v>
      </c>
      <c r="B9" s="106">
        <v>4988634</v>
      </c>
      <c r="C9" s="106">
        <v>5091660</v>
      </c>
    </row>
    <row r="10" spans="1:9" s="3" customFormat="1" ht="10.199999999999999" x14ac:dyDescent="0.2">
      <c r="A10" s="213"/>
      <c r="B10" s="404">
        <f>Pasywa!D24-B7</f>
        <v>0</v>
      </c>
      <c r="C10" s="404">
        <f>Pasywa!E24-C7</f>
        <v>0</v>
      </c>
    </row>
    <row r="11" spans="1:9" s="3" customFormat="1" ht="10.199999999999999" x14ac:dyDescent="0.2">
      <c r="A11" s="215"/>
      <c r="B11" s="214"/>
      <c r="C11" s="214"/>
    </row>
    <row r="12" spans="1:9" s="3" customFormat="1" ht="11.25" customHeight="1" x14ac:dyDescent="0.2">
      <c r="A12" s="782" t="s">
        <v>903</v>
      </c>
      <c r="B12" s="782"/>
      <c r="C12" s="782"/>
      <c r="D12" s="782"/>
      <c r="E12" s="782"/>
      <c r="F12" s="782"/>
      <c r="G12" s="782"/>
      <c r="H12" s="56"/>
      <c r="I12" s="56"/>
    </row>
    <row r="13" spans="1:9" s="3" customFormat="1" ht="10.199999999999999" x14ac:dyDescent="0.2">
      <c r="A13" s="680"/>
      <c r="B13" s="56"/>
      <c r="C13" s="56"/>
      <c r="D13" s="56"/>
      <c r="E13" s="56"/>
      <c r="F13" s="56"/>
      <c r="G13" s="56"/>
      <c r="H13" s="56"/>
      <c r="I13" s="56"/>
    </row>
    <row r="14" spans="1:9" s="56" customFormat="1" ht="11.25" customHeight="1" x14ac:dyDescent="0.2">
      <c r="A14" s="777" t="s">
        <v>416</v>
      </c>
      <c r="B14" s="778" t="s">
        <v>26</v>
      </c>
      <c r="C14" s="757" t="s">
        <v>661</v>
      </c>
      <c r="D14" s="778" t="s">
        <v>904</v>
      </c>
      <c r="E14" s="778"/>
      <c r="F14" s="778"/>
      <c r="G14" s="778"/>
      <c r="H14" s="778"/>
    </row>
    <row r="15" spans="1:9" s="56" customFormat="1" ht="27.9" customHeight="1" x14ac:dyDescent="0.2">
      <c r="A15" s="777"/>
      <c r="B15" s="778"/>
      <c r="C15" s="757"/>
      <c r="D15" s="92" t="s">
        <v>906</v>
      </c>
      <c r="E15" s="92" t="s">
        <v>907</v>
      </c>
      <c r="F15" s="92" t="s">
        <v>293</v>
      </c>
      <c r="G15" s="92" t="s">
        <v>908</v>
      </c>
      <c r="H15" s="92" t="s">
        <v>909</v>
      </c>
    </row>
    <row r="16" spans="1:9" s="56" customFormat="1" ht="10.199999999999999" x14ac:dyDescent="0.2">
      <c r="A16" s="682">
        <v>42735</v>
      </c>
      <c r="B16" s="157">
        <f t="shared" ref="B16:B19" si="0">SUM(C16:H16)</f>
        <v>4988634</v>
      </c>
      <c r="C16" s="158">
        <f t="shared" ref="C16:H16" si="1">C17+C18</f>
        <v>4344358</v>
      </c>
      <c r="D16" s="158">
        <f t="shared" si="1"/>
        <v>494066</v>
      </c>
      <c r="E16" s="158">
        <f t="shared" si="1"/>
        <v>62133</v>
      </c>
      <c r="F16" s="158">
        <f t="shared" si="1"/>
        <v>47004</v>
      </c>
      <c r="G16" s="158">
        <f t="shared" si="1"/>
        <v>3830</v>
      </c>
      <c r="H16" s="158">
        <f t="shared" si="1"/>
        <v>37243</v>
      </c>
      <c r="I16" s="404">
        <f>B16-B7</f>
        <v>0</v>
      </c>
    </row>
    <row r="17" spans="1:9" s="56" customFormat="1" ht="10.199999999999999" x14ac:dyDescent="0.2">
      <c r="A17" s="188" t="s">
        <v>605</v>
      </c>
      <c r="B17" s="158">
        <v>0</v>
      </c>
      <c r="C17" s="158">
        <v>0</v>
      </c>
      <c r="D17" s="158">
        <v>0</v>
      </c>
      <c r="E17" s="158">
        <v>0</v>
      </c>
      <c r="F17" s="158">
        <v>0</v>
      </c>
      <c r="G17" s="158">
        <v>0</v>
      </c>
      <c r="H17" s="158">
        <v>0</v>
      </c>
    </row>
    <row r="18" spans="1:9" s="56" customFormat="1" ht="10.199999999999999" x14ac:dyDescent="0.2">
      <c r="A18" s="188" t="s">
        <v>606</v>
      </c>
      <c r="B18" s="158">
        <v>4988634</v>
      </c>
      <c r="C18" s="158">
        <v>4344358</v>
      </c>
      <c r="D18" s="158">
        <v>494066</v>
      </c>
      <c r="E18" s="158">
        <v>62133</v>
      </c>
      <c r="F18" s="158">
        <v>47004</v>
      </c>
      <c r="G18" s="158">
        <v>3830</v>
      </c>
      <c r="H18" s="158">
        <v>37243</v>
      </c>
    </row>
    <row r="19" spans="1:9" s="56" customFormat="1" ht="10.199999999999999" x14ac:dyDescent="0.2">
      <c r="A19" s="682">
        <v>42369</v>
      </c>
      <c r="B19" s="157">
        <f t="shared" si="0"/>
        <v>5091660</v>
      </c>
      <c r="C19" s="158">
        <f t="shared" ref="C19:H19" si="2">C20+C21</f>
        <v>4263111</v>
      </c>
      <c r="D19" s="158">
        <f t="shared" si="2"/>
        <v>498155</v>
      </c>
      <c r="E19" s="158">
        <f t="shared" si="2"/>
        <v>24526</v>
      </c>
      <c r="F19" s="158">
        <f t="shared" si="2"/>
        <v>8543</v>
      </c>
      <c r="G19" s="158">
        <f t="shared" si="2"/>
        <v>2159</v>
      </c>
      <c r="H19" s="158">
        <f t="shared" si="2"/>
        <v>295166</v>
      </c>
      <c r="I19" s="404">
        <f>B19-C7</f>
        <v>0</v>
      </c>
    </row>
    <row r="20" spans="1:9" s="56" customFormat="1" ht="10.199999999999999" x14ac:dyDescent="0.2">
      <c r="A20" s="188" t="s">
        <v>605</v>
      </c>
      <c r="B20" s="158">
        <v>0</v>
      </c>
      <c r="C20" s="158">
        <v>0</v>
      </c>
      <c r="D20" s="681">
        <v>0</v>
      </c>
      <c r="E20" s="681">
        <v>0</v>
      </c>
      <c r="F20" s="681">
        <v>0</v>
      </c>
      <c r="G20" s="681">
        <v>0</v>
      </c>
      <c r="H20" s="681">
        <v>0</v>
      </c>
    </row>
    <row r="21" spans="1:9" s="56" customFormat="1" ht="10.199999999999999" x14ac:dyDescent="0.2">
      <c r="A21" s="188" t="s">
        <v>606</v>
      </c>
      <c r="B21" s="158">
        <v>5091660</v>
      </c>
      <c r="C21" s="158">
        <v>4263111</v>
      </c>
      <c r="D21" s="681">
        <f>463621+34534</f>
        <v>498155</v>
      </c>
      <c r="E21" s="681">
        <v>24526</v>
      </c>
      <c r="F21" s="681">
        <v>8543</v>
      </c>
      <c r="G21" s="681">
        <v>2159</v>
      </c>
      <c r="H21" s="681">
        <v>295166</v>
      </c>
    </row>
    <row r="22" spans="1:9" s="3" customFormat="1" ht="10.199999999999999" x14ac:dyDescent="0.2">
      <c r="A22" s="213"/>
      <c r="B22" s="214"/>
      <c r="C22" s="214"/>
    </row>
    <row r="23" spans="1:9" x14ac:dyDescent="0.25">
      <c r="C23" s="401"/>
      <c r="D23" s="322"/>
    </row>
    <row r="24" spans="1:9" s="56" customFormat="1" x14ac:dyDescent="0.25">
      <c r="A24" s="535" t="s">
        <v>987</v>
      </c>
    </row>
    <row r="25" spans="1:9" s="56" customFormat="1" ht="10.199999999999999" x14ac:dyDescent="0.2">
      <c r="A25" s="46"/>
    </row>
    <row r="26" spans="1:9" s="3" customFormat="1" ht="10.199999999999999" x14ac:dyDescent="0.2">
      <c r="A26" s="213" t="s">
        <v>570</v>
      </c>
      <c r="B26" s="214"/>
      <c r="C26" s="214"/>
    </row>
    <row r="27" spans="1:9" s="3" customFormat="1" ht="10.199999999999999" x14ac:dyDescent="0.2">
      <c r="A27" s="211"/>
      <c r="B27" s="212"/>
      <c r="C27" s="212"/>
    </row>
    <row r="28" spans="1:9" s="3" customFormat="1" ht="10.199999999999999" x14ac:dyDescent="0.2">
      <c r="A28" s="126" t="s">
        <v>416</v>
      </c>
      <c r="B28" s="623">
        <f>'Dane podstawowe'!$B$9</f>
        <v>42735</v>
      </c>
      <c r="C28" s="623">
        <f>'Dane podstawowe'!$B$14</f>
        <v>42369</v>
      </c>
    </row>
    <row r="29" spans="1:9" s="3" customFormat="1" ht="35.25" customHeight="1" x14ac:dyDescent="0.2">
      <c r="A29" s="113" t="s">
        <v>233</v>
      </c>
      <c r="B29" s="157">
        <f>SUM(B30:B37)</f>
        <v>874071</v>
      </c>
      <c r="C29" s="157">
        <f>SUM(C30:C37)</f>
        <v>580650</v>
      </c>
    </row>
    <row r="30" spans="1:9" s="3" customFormat="1" ht="10.199999999999999" x14ac:dyDescent="0.2">
      <c r="A30" s="185" t="s">
        <v>607</v>
      </c>
      <c r="B30" s="106">
        <v>590633</v>
      </c>
      <c r="C30" s="106">
        <v>350004</v>
      </c>
    </row>
    <row r="31" spans="1:9" s="3" customFormat="1" ht="10.199999999999999" x14ac:dyDescent="0.2">
      <c r="A31" s="185" t="s">
        <v>608</v>
      </c>
      <c r="B31" s="106">
        <f>2681+2676</f>
        <v>5357</v>
      </c>
      <c r="C31" s="106">
        <v>23777</v>
      </c>
    </row>
    <row r="32" spans="1:9" s="3" customFormat="1" ht="10.199999999999999" x14ac:dyDescent="0.2">
      <c r="A32" s="185" t="s">
        <v>609</v>
      </c>
      <c r="B32" s="106">
        <v>66438</v>
      </c>
      <c r="C32" s="106">
        <v>56762</v>
      </c>
    </row>
    <row r="33" spans="1:3" s="3" customFormat="1" ht="10.199999999999999" x14ac:dyDescent="0.2">
      <c r="A33" s="216" t="s">
        <v>916</v>
      </c>
      <c r="B33" s="106">
        <f>3803+1522</f>
        <v>5325</v>
      </c>
      <c r="C33" s="106"/>
    </row>
    <row r="34" spans="1:3" s="3" customFormat="1" ht="10.199999999999999" x14ac:dyDescent="0.2">
      <c r="A34" s="216" t="s">
        <v>573</v>
      </c>
      <c r="B34" s="106">
        <v>206318</v>
      </c>
      <c r="C34" s="106">
        <v>150107</v>
      </c>
    </row>
    <row r="35" spans="1:3" s="3" customFormat="1" ht="10.199999999999999" x14ac:dyDescent="0.2">
      <c r="A35" s="216" t="s">
        <v>575</v>
      </c>
      <c r="B35" s="106"/>
      <c r="C35" s="106"/>
    </row>
    <row r="36" spans="1:3" s="3" customFormat="1" ht="10.199999999999999" x14ac:dyDescent="0.2">
      <c r="A36" s="216" t="s">
        <v>574</v>
      </c>
      <c r="B36" s="106"/>
      <c r="C36" s="106"/>
    </row>
    <row r="37" spans="1:3" s="3" customFormat="1" ht="10.199999999999999" x14ac:dyDescent="0.2">
      <c r="A37" s="185" t="s">
        <v>660</v>
      </c>
      <c r="B37" s="106"/>
      <c r="C37" s="106"/>
    </row>
    <row r="38" spans="1:3" s="3" customFormat="1" ht="10.199999999999999" x14ac:dyDescent="0.2">
      <c r="A38" s="178" t="s">
        <v>610</v>
      </c>
      <c r="B38" s="157">
        <f>SUM(B39:B43)</f>
        <v>45097</v>
      </c>
      <c r="C38" s="157">
        <f>SUM(C39:C43)</f>
        <v>81481</v>
      </c>
    </row>
    <row r="39" spans="1:3" s="3" customFormat="1" ht="20.399999999999999" x14ac:dyDescent="0.2">
      <c r="A39" s="185" t="s">
        <v>611</v>
      </c>
      <c r="B39" s="106">
        <v>25735</v>
      </c>
      <c r="C39" s="106">
        <v>24072</v>
      </c>
    </row>
    <row r="40" spans="1:3" s="3" customFormat="1" ht="10.199999999999999" x14ac:dyDescent="0.2">
      <c r="A40" s="185" t="s">
        <v>612</v>
      </c>
      <c r="B40" s="106"/>
      <c r="C40" s="106">
        <v>53809</v>
      </c>
    </row>
    <row r="41" spans="1:3" s="3" customFormat="1" ht="23.25" customHeight="1" x14ac:dyDescent="0.2">
      <c r="A41" s="185" t="s">
        <v>613</v>
      </c>
      <c r="B41" s="106"/>
      <c r="C41" s="106"/>
    </row>
    <row r="42" spans="1:3" s="3" customFormat="1" ht="23.25" customHeight="1" x14ac:dyDescent="0.2">
      <c r="A42" s="216" t="s">
        <v>917</v>
      </c>
      <c r="B42" s="106">
        <v>17557</v>
      </c>
      <c r="C42" s="106"/>
    </row>
    <row r="43" spans="1:3" s="3" customFormat="1" ht="10.199999999999999" x14ac:dyDescent="0.2">
      <c r="A43" s="185" t="s">
        <v>614</v>
      </c>
      <c r="B43" s="106">
        <v>1805</v>
      </c>
      <c r="C43" s="106">
        <v>3600</v>
      </c>
    </row>
    <row r="44" spans="1:3" s="3" customFormat="1" ht="10.199999999999999" x14ac:dyDescent="0.2">
      <c r="A44" s="178" t="s">
        <v>576</v>
      </c>
      <c r="B44" s="157"/>
      <c r="C44" s="157"/>
    </row>
    <row r="45" spans="1:3" s="3" customFormat="1" ht="10.199999999999999" x14ac:dyDescent="0.2">
      <c r="A45" s="186" t="s">
        <v>253</v>
      </c>
      <c r="B45" s="116">
        <f>B29+B38+B44</f>
        <v>919168</v>
      </c>
      <c r="C45" s="116">
        <f>C29+C38+C44</f>
        <v>662131</v>
      </c>
    </row>
    <row r="46" spans="1:3" s="3" customFormat="1" ht="10.199999999999999" x14ac:dyDescent="0.2">
      <c r="B46" s="397">
        <f>Pasywa!D26-'NOTA 25,26 - Zob. hand i pozost'!B45</f>
        <v>0</v>
      </c>
      <c r="C46" s="397">
        <f>Pasywa!E26-'NOTA 25,26 - Zob. hand i pozost'!C45</f>
        <v>0</v>
      </c>
    </row>
  </sheetData>
  <mergeCells count="5">
    <mergeCell ref="A12:G12"/>
    <mergeCell ref="D14:H14"/>
    <mergeCell ref="A14:A15"/>
    <mergeCell ref="B14:B15"/>
    <mergeCell ref="C14:C15"/>
  </mergeCells>
  <phoneticPr fontId="29" type="noConversion"/>
  <pageMargins left="0.75" right="0.75" top="1" bottom="1" header="0.5" footer="0.5"/>
  <pageSetup paperSize="9" scale="6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"/>
  <sheetViews>
    <sheetView showGridLines="0" view="pageBreakPreview" zoomScaleNormal="100" zoomScaleSheetLayoutView="100" workbookViewId="0">
      <selection activeCell="A36" sqref="A36"/>
    </sheetView>
  </sheetViews>
  <sheetFormatPr defaultColWidth="9.109375" defaultRowHeight="13.2" x14ac:dyDescent="0.25"/>
  <cols>
    <col min="1" max="1" width="50.44140625" style="45" customWidth="1"/>
    <col min="2" max="5" width="16.5546875" style="45" customWidth="1"/>
    <col min="6" max="6" width="9.109375" style="45"/>
    <col min="7" max="7" width="10" style="45" customWidth="1"/>
    <col min="8" max="8" width="10.33203125" style="45" customWidth="1"/>
    <col min="9" max="9" width="10.44140625" style="45" customWidth="1"/>
    <col min="10" max="16384" width="9.109375" style="45"/>
  </cols>
  <sheetData>
    <row r="1" spans="1:3" x14ac:dyDescent="0.25">
      <c r="A1" s="70"/>
    </row>
    <row r="2" spans="1:3" s="3" customFormat="1" x14ac:dyDescent="0.25">
      <c r="A2" s="535" t="s">
        <v>988</v>
      </c>
    </row>
    <row r="3" spans="1:3" s="3" customFormat="1" ht="10.199999999999999" x14ac:dyDescent="0.2"/>
    <row r="4" spans="1:3" s="3" customFormat="1" ht="10.199999999999999" x14ac:dyDescent="0.2">
      <c r="A4" s="140" t="s">
        <v>416</v>
      </c>
      <c r="B4" s="623">
        <f>'Dane podstawowe'!$B$9</f>
        <v>42735</v>
      </c>
      <c r="C4" s="623">
        <f>'Dane podstawowe'!$B$14</f>
        <v>42369</v>
      </c>
    </row>
    <row r="5" spans="1:3" s="3" customFormat="1" ht="10.199999999999999" x14ac:dyDescent="0.2">
      <c r="A5" s="217" t="s">
        <v>146</v>
      </c>
      <c r="B5" s="116">
        <f>SUM(B6:B10)</f>
        <v>153834.15</v>
      </c>
      <c r="C5" s="116">
        <f>SUM(C6:C10)</f>
        <v>314755</v>
      </c>
    </row>
    <row r="6" spans="1:3" s="56" customFormat="1" ht="10.199999999999999" x14ac:dyDescent="0.2">
      <c r="A6" s="63" t="s">
        <v>143</v>
      </c>
      <c r="B6" s="258">
        <v>153834.15</v>
      </c>
      <c r="C6" s="258">
        <f>267364+47391</f>
        <v>314755</v>
      </c>
    </row>
    <row r="7" spans="1:3" s="56" customFormat="1" ht="10.199999999999999" hidden="1" x14ac:dyDescent="0.2">
      <c r="A7" s="62" t="s">
        <v>346</v>
      </c>
      <c r="B7" s="258"/>
      <c r="C7" s="258"/>
    </row>
    <row r="8" spans="1:3" s="56" customFormat="1" ht="10.199999999999999" hidden="1" x14ac:dyDescent="0.2">
      <c r="A8" s="62" t="s">
        <v>346</v>
      </c>
      <c r="B8" s="258"/>
      <c r="C8" s="258"/>
    </row>
    <row r="9" spans="1:3" s="56" customFormat="1" ht="10.199999999999999" hidden="1" x14ac:dyDescent="0.2">
      <c r="A9" s="62" t="s">
        <v>346</v>
      </c>
      <c r="B9" s="258"/>
      <c r="C9" s="258"/>
    </row>
    <row r="10" spans="1:3" s="56" customFormat="1" ht="10.199999999999999" hidden="1" x14ac:dyDescent="0.2">
      <c r="A10" s="62" t="s">
        <v>346</v>
      </c>
      <c r="B10" s="258"/>
      <c r="C10" s="258"/>
    </row>
    <row r="11" spans="1:3" s="3" customFormat="1" ht="10.199999999999999" x14ac:dyDescent="0.2">
      <c r="A11" s="217" t="s">
        <v>578</v>
      </c>
      <c r="B11" s="116">
        <f>SUM(B12:B13)</f>
        <v>0</v>
      </c>
      <c r="C11" s="116">
        <f>SUM(C12:C13)</f>
        <v>25800</v>
      </c>
    </row>
    <row r="12" spans="1:3" s="56" customFormat="1" ht="10.199999999999999" hidden="1" x14ac:dyDescent="0.2">
      <c r="A12" s="62" t="s">
        <v>578</v>
      </c>
      <c r="B12" s="258">
        <v>0</v>
      </c>
      <c r="C12" s="258">
        <v>0</v>
      </c>
    </row>
    <row r="13" spans="1:3" s="56" customFormat="1" ht="10.199999999999999" hidden="1" x14ac:dyDescent="0.2">
      <c r="A13" s="62" t="s">
        <v>346</v>
      </c>
      <c r="B13" s="258">
        <v>0</v>
      </c>
      <c r="C13" s="258">
        <v>25800</v>
      </c>
    </row>
    <row r="14" spans="1:3" s="56" customFormat="1" ht="10.199999999999999" x14ac:dyDescent="0.2">
      <c r="A14" s="217" t="s">
        <v>816</v>
      </c>
      <c r="B14" s="258"/>
      <c r="C14" s="258"/>
    </row>
    <row r="15" spans="1:3" s="56" customFormat="1" ht="10.199999999999999" x14ac:dyDescent="0.2">
      <c r="A15" s="217" t="s">
        <v>817</v>
      </c>
      <c r="B15" s="258">
        <v>0</v>
      </c>
      <c r="C15" s="258">
        <v>25800</v>
      </c>
    </row>
    <row r="16" spans="1:3" s="53" customFormat="1" hidden="1" x14ac:dyDescent="0.25">
      <c r="A16" s="62" t="s">
        <v>346</v>
      </c>
      <c r="B16" s="295"/>
      <c r="C16" s="295"/>
    </row>
    <row r="17" spans="1:3" s="3" customFormat="1" ht="10.199999999999999" x14ac:dyDescent="0.2">
      <c r="A17" s="72" t="s">
        <v>818</v>
      </c>
      <c r="B17" s="116">
        <f>B11+B5+B14</f>
        <v>153834.15</v>
      </c>
      <c r="C17" s="116">
        <f>C11+C5+C14</f>
        <v>340555</v>
      </c>
    </row>
    <row r="18" spans="1:3" s="3" customFormat="1" ht="10.199999999999999" x14ac:dyDescent="0.2">
      <c r="A18" s="71" t="s">
        <v>493</v>
      </c>
      <c r="B18" s="116">
        <v>0</v>
      </c>
      <c r="C18" s="116">
        <v>153368</v>
      </c>
    </row>
    <row r="19" spans="1:3" s="3" customFormat="1" ht="10.199999999999999" x14ac:dyDescent="0.2">
      <c r="A19" s="71" t="s">
        <v>492</v>
      </c>
      <c r="B19" s="116">
        <v>153834</v>
      </c>
      <c r="C19" s="116">
        <v>187187</v>
      </c>
    </row>
    <row r="20" spans="1:3" s="3" customFormat="1" ht="10.199999999999999" x14ac:dyDescent="0.2">
      <c r="B20" s="397">
        <f>Pasywa!D27-'NOTA 27 - RMP'!B17+Pasywa!D18</f>
        <v>-0.14999999999417923</v>
      </c>
      <c r="C20" s="397">
        <f>Pasywa!E27-'NOTA 27 - RMP'!C17+Pasywa!E18</f>
        <v>0</v>
      </c>
    </row>
    <row r="21" spans="1:3" s="3" customFormat="1" ht="10.199999999999999" x14ac:dyDescent="0.2"/>
  </sheetData>
  <phoneticPr fontId="32" type="noConversion"/>
  <pageMargins left="0.7" right="0.7" top="0.75" bottom="0.75" header="0.3" footer="0.3"/>
  <pageSetup paperSize="9" scale="68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E48"/>
  <sheetViews>
    <sheetView showGridLines="0" view="pageBreakPreview" zoomScaleNormal="100" zoomScaleSheetLayoutView="100" workbookViewId="0">
      <selection activeCell="Q39" sqref="Q39"/>
    </sheetView>
  </sheetViews>
  <sheetFormatPr defaultColWidth="9.109375" defaultRowHeight="10.199999999999999" x14ac:dyDescent="0.2"/>
  <cols>
    <col min="1" max="1" width="54.6640625" style="251" customWidth="1"/>
    <col min="2" max="2" width="15" style="251" customWidth="1"/>
    <col min="3" max="3" width="14.5546875" style="251" customWidth="1"/>
    <col min="4" max="4" width="14.109375" style="251" customWidth="1"/>
    <col min="5" max="5" width="12.5546875" style="251" customWidth="1"/>
    <col min="6" max="6" width="9.109375" style="251"/>
    <col min="7" max="7" width="19" style="251" customWidth="1"/>
    <col min="8" max="16384" width="9.109375" style="251"/>
  </cols>
  <sheetData>
    <row r="1" spans="1:5" s="149" customFormat="1" x14ac:dyDescent="0.2">
      <c r="A1" s="265"/>
    </row>
    <row r="2" spans="1:5" s="53" customFormat="1" ht="13.2" x14ac:dyDescent="0.25">
      <c r="A2" s="535" t="s">
        <v>989</v>
      </c>
    </row>
    <row r="3" spans="1:5" s="53" customFormat="1" x14ac:dyDescent="0.2"/>
    <row r="4" spans="1:5" s="3" customFormat="1" x14ac:dyDescent="0.2">
      <c r="A4" s="296"/>
      <c r="B4" s="623">
        <f>'Dane podstawowe'!$B$9</f>
        <v>42735</v>
      </c>
      <c r="C4" s="623">
        <f>'Dane podstawowe'!$B$14</f>
        <v>42369</v>
      </c>
    </row>
    <row r="5" spans="1:5" s="3" customFormat="1" x14ac:dyDescent="0.2">
      <c r="A5" s="280" t="s">
        <v>367</v>
      </c>
      <c r="B5" s="293"/>
      <c r="C5" s="293"/>
    </row>
    <row r="6" spans="1:5" s="3" customFormat="1" x14ac:dyDescent="0.2">
      <c r="A6" s="280" t="s">
        <v>17</v>
      </c>
      <c r="B6" s="293"/>
      <c r="C6" s="293"/>
    </row>
    <row r="7" spans="1:5" s="3" customFormat="1" x14ac:dyDescent="0.2">
      <c r="A7" s="280" t="s">
        <v>18</v>
      </c>
      <c r="B7" s="293">
        <v>200380</v>
      </c>
      <c r="C7" s="293">
        <v>153620</v>
      </c>
      <c r="D7" s="316"/>
    </row>
    <row r="8" spans="1:5" s="3" customFormat="1" x14ac:dyDescent="0.2">
      <c r="A8" s="280" t="s">
        <v>19</v>
      </c>
      <c r="B8" s="293"/>
      <c r="C8" s="293"/>
    </row>
    <row r="9" spans="1:5" s="53" customFormat="1" x14ac:dyDescent="0.2">
      <c r="A9" s="90" t="s">
        <v>20</v>
      </c>
      <c r="B9" s="99">
        <f>SUM(B5:B8)</f>
        <v>200380</v>
      </c>
      <c r="C9" s="99">
        <f>SUM(C5:C8)</f>
        <v>153620</v>
      </c>
    </row>
    <row r="10" spans="1:5" s="53" customFormat="1" x14ac:dyDescent="0.2">
      <c r="A10" s="253" t="s">
        <v>94</v>
      </c>
      <c r="B10" s="292"/>
      <c r="C10" s="292"/>
    </row>
    <row r="11" spans="1:5" s="53" customFormat="1" x14ac:dyDescent="0.2">
      <c r="A11" s="253" t="s">
        <v>95</v>
      </c>
      <c r="B11" s="292"/>
      <c r="C11" s="292"/>
    </row>
    <row r="12" spans="1:5" s="53" customFormat="1" x14ac:dyDescent="0.2">
      <c r="B12" s="403">
        <f>(Pasywa!D19+Pasywa!D28)-'NOTA 28,29 - Rezerwy'!B9</f>
        <v>0</v>
      </c>
      <c r="C12" s="403">
        <f>(Pasywa!E19+Pasywa!E28)-'NOTA 28,29 - Rezerwy'!C9</f>
        <v>0</v>
      </c>
    </row>
    <row r="13" spans="1:5" s="53" customFormat="1" x14ac:dyDescent="0.2">
      <c r="B13" s="281"/>
      <c r="C13" s="281"/>
    </row>
    <row r="14" spans="1:5" s="53" customFormat="1" x14ac:dyDescent="0.2">
      <c r="A14" s="740" t="s">
        <v>455</v>
      </c>
    </row>
    <row r="15" spans="1:5" s="53" customFormat="1" x14ac:dyDescent="0.2"/>
    <row r="16" spans="1:5" s="54" customFormat="1" ht="40.799999999999997" x14ac:dyDescent="0.25">
      <c r="A16" s="297"/>
      <c r="B16" s="92" t="s">
        <v>367</v>
      </c>
      <c r="C16" s="92" t="s">
        <v>17</v>
      </c>
      <c r="D16" s="92" t="s">
        <v>18</v>
      </c>
      <c r="E16" s="92" t="s">
        <v>21</v>
      </c>
    </row>
    <row r="17" spans="1:5" s="66" customFormat="1" x14ac:dyDescent="0.2">
      <c r="A17" s="114" t="s">
        <v>898</v>
      </c>
      <c r="B17" s="99"/>
      <c r="C17" s="99">
        <f>C28</f>
        <v>0</v>
      </c>
      <c r="D17" s="99">
        <f>D28</f>
        <v>153620</v>
      </c>
      <c r="E17" s="99">
        <f>E28</f>
        <v>0</v>
      </c>
    </row>
    <row r="18" spans="1:5" s="53" customFormat="1" x14ac:dyDescent="0.2">
      <c r="A18" s="290" t="s">
        <v>22</v>
      </c>
      <c r="B18" s="292"/>
      <c r="C18" s="292"/>
      <c r="D18" s="292">
        <v>123869</v>
      </c>
      <c r="E18" s="298"/>
    </row>
    <row r="19" spans="1:5" s="53" customFormat="1" x14ac:dyDescent="0.2">
      <c r="A19" s="290" t="s">
        <v>487</v>
      </c>
      <c r="B19" s="292"/>
      <c r="C19" s="292"/>
      <c r="D19" s="292">
        <v>0</v>
      </c>
      <c r="E19" s="298"/>
    </row>
    <row r="20" spans="1:5" s="53" customFormat="1" x14ac:dyDescent="0.2">
      <c r="A20" s="290" t="s">
        <v>488</v>
      </c>
      <c r="B20" s="292"/>
      <c r="C20" s="292"/>
      <c r="D20" s="292">
        <v>77109</v>
      </c>
      <c r="E20" s="298"/>
    </row>
    <row r="21" spans="1:5" s="66" customFormat="1" x14ac:dyDescent="0.2">
      <c r="A21" s="114" t="s">
        <v>897</v>
      </c>
      <c r="B21" s="99">
        <f>B17+B18-B19-B20</f>
        <v>0</v>
      </c>
      <c r="C21" s="99">
        <f>C17+C18-C19-C20</f>
        <v>0</v>
      </c>
      <c r="D21" s="99">
        <f>D17+D18-D19-D20</f>
        <v>200380</v>
      </c>
      <c r="E21" s="99">
        <f>E17+E18-E19-E20</f>
        <v>0</v>
      </c>
    </row>
    <row r="22" spans="1:5" s="53" customFormat="1" x14ac:dyDescent="0.2">
      <c r="A22" s="253" t="s">
        <v>94</v>
      </c>
      <c r="B22" s="292"/>
      <c r="C22" s="292"/>
      <c r="D22" s="292">
        <v>0</v>
      </c>
      <c r="E22" s="298"/>
    </row>
    <row r="23" spans="1:5" s="53" customFormat="1" x14ac:dyDescent="0.2">
      <c r="A23" s="253" t="s">
        <v>95</v>
      </c>
      <c r="B23" s="292"/>
      <c r="C23" s="292"/>
      <c r="D23" s="292">
        <v>200380</v>
      </c>
      <c r="E23" s="298"/>
    </row>
    <row r="24" spans="1:5" s="66" customFormat="1" x14ac:dyDescent="0.2">
      <c r="A24" s="73" t="s">
        <v>896</v>
      </c>
      <c r="B24" s="116"/>
      <c r="C24" s="116"/>
      <c r="D24" s="116">
        <v>94744</v>
      </c>
      <c r="E24" s="116"/>
    </row>
    <row r="25" spans="1:5" s="53" customFormat="1" x14ac:dyDescent="0.2">
      <c r="A25" s="290" t="s">
        <v>22</v>
      </c>
      <c r="B25" s="263"/>
      <c r="C25" s="263"/>
      <c r="D25" s="263">
        <v>153620</v>
      </c>
      <c r="E25" s="263"/>
    </row>
    <row r="26" spans="1:5" s="53" customFormat="1" x14ac:dyDescent="0.2">
      <c r="A26" s="290" t="s">
        <v>487</v>
      </c>
      <c r="B26" s="263"/>
      <c r="C26" s="263"/>
      <c r="D26" s="263">
        <v>0</v>
      </c>
      <c r="E26" s="263"/>
    </row>
    <row r="27" spans="1:5" s="53" customFormat="1" x14ac:dyDescent="0.2">
      <c r="A27" s="290" t="s">
        <v>488</v>
      </c>
      <c r="B27" s="263"/>
      <c r="C27" s="263"/>
      <c r="D27" s="263">
        <v>94744</v>
      </c>
      <c r="E27" s="263"/>
    </row>
    <row r="28" spans="1:5" s="66" customFormat="1" x14ac:dyDescent="0.2">
      <c r="A28" s="114" t="s">
        <v>866</v>
      </c>
      <c r="B28" s="116">
        <f>B24+B25-B26-B27</f>
        <v>0</v>
      </c>
      <c r="C28" s="116">
        <f>C24+C25-C26-C27</f>
        <v>0</v>
      </c>
      <c r="D28" s="116">
        <f>D24+D25-D26-D27</f>
        <v>153620</v>
      </c>
      <c r="E28" s="116">
        <f>E24+E25-E26-E27</f>
        <v>0</v>
      </c>
    </row>
    <row r="29" spans="1:5" s="53" customFormat="1" x14ac:dyDescent="0.2">
      <c r="A29" s="253" t="s">
        <v>94</v>
      </c>
      <c r="B29" s="263"/>
      <c r="C29" s="263"/>
      <c r="D29" s="263">
        <v>0</v>
      </c>
      <c r="E29" s="263"/>
    </row>
    <row r="30" spans="1:5" s="53" customFormat="1" x14ac:dyDescent="0.2">
      <c r="A30" s="253" t="s">
        <v>95</v>
      </c>
      <c r="B30" s="263"/>
      <c r="C30" s="263"/>
      <c r="D30" s="263">
        <v>153620</v>
      </c>
      <c r="E30" s="263"/>
    </row>
    <row r="31" spans="1:5" s="53" customFormat="1" x14ac:dyDescent="0.2"/>
    <row r="32" spans="1:5" s="53" customFormat="1" x14ac:dyDescent="0.2"/>
    <row r="33" spans="1:4" s="56" customFormat="1" ht="13.2" x14ac:dyDescent="0.25">
      <c r="A33" s="535" t="s">
        <v>990</v>
      </c>
    </row>
    <row r="34" spans="1:4" s="469" customFormat="1" x14ac:dyDescent="0.2"/>
    <row r="35" spans="1:4" s="56" customFormat="1" x14ac:dyDescent="0.2">
      <c r="A35" s="492"/>
      <c r="B35" s="623">
        <f>'Dane podstawowe'!$B$9</f>
        <v>42735</v>
      </c>
      <c r="C35" s="623">
        <f>'Dane podstawowe'!$B$14</f>
        <v>42369</v>
      </c>
    </row>
    <row r="36" spans="1:4" s="56" customFormat="1" x14ac:dyDescent="0.2">
      <c r="A36" s="58" t="s">
        <v>946</v>
      </c>
      <c r="B36" s="101">
        <v>220000</v>
      </c>
      <c r="C36" s="101">
        <v>0</v>
      </c>
    </row>
    <row r="37" spans="1:4" s="56" customFormat="1" x14ac:dyDescent="0.2">
      <c r="A37" s="58" t="s">
        <v>817</v>
      </c>
      <c r="B37" s="101">
        <v>21400</v>
      </c>
      <c r="C37" s="101">
        <v>0</v>
      </c>
    </row>
    <row r="38" spans="1:4" s="56" customFormat="1" x14ac:dyDescent="0.2">
      <c r="A38" s="563" t="s">
        <v>814</v>
      </c>
      <c r="B38" s="101">
        <v>0</v>
      </c>
      <c r="C38" s="101">
        <v>0</v>
      </c>
    </row>
    <row r="39" spans="1:4" s="56" customFormat="1" x14ac:dyDescent="0.2">
      <c r="A39" s="563" t="s">
        <v>815</v>
      </c>
      <c r="B39" s="101">
        <v>0</v>
      </c>
      <c r="C39" s="101">
        <v>29135</v>
      </c>
    </row>
    <row r="40" spans="1:4" s="56" customFormat="1" hidden="1" x14ac:dyDescent="0.2">
      <c r="A40" s="61" t="s">
        <v>346</v>
      </c>
      <c r="B40" s="101"/>
      <c r="C40" s="101"/>
    </row>
    <row r="41" spans="1:4" s="56" customFormat="1" x14ac:dyDescent="0.2">
      <c r="A41" s="90" t="s">
        <v>20</v>
      </c>
      <c r="B41" s="99">
        <f>SUM(B36:B40)</f>
        <v>241400</v>
      </c>
      <c r="C41" s="99">
        <f>SUM(C36:C40)</f>
        <v>29135</v>
      </c>
    </row>
    <row r="42" spans="1:4" s="56" customFormat="1" x14ac:dyDescent="0.2">
      <c r="A42" s="58" t="s">
        <v>94</v>
      </c>
      <c r="B42" s="101">
        <v>0</v>
      </c>
      <c r="C42" s="101">
        <v>0</v>
      </c>
    </row>
    <row r="43" spans="1:4" s="56" customFormat="1" x14ac:dyDescent="0.2">
      <c r="A43" s="58" t="s">
        <v>95</v>
      </c>
      <c r="B43" s="101">
        <v>241400</v>
      </c>
      <c r="C43" s="101">
        <v>29135</v>
      </c>
    </row>
    <row r="44" spans="1:4" s="56" customFormat="1" x14ac:dyDescent="0.2">
      <c r="B44" s="404">
        <f>(Pasywa!$D$20+Pasywa!$D$29)-B41</f>
        <v>0</v>
      </c>
      <c r="C44" s="481">
        <f>(Pasywa!$E$20+Pasywa!$E$29)-C41</f>
        <v>0</v>
      </c>
    </row>
    <row r="45" spans="1:4" s="56" customFormat="1" x14ac:dyDescent="0.2">
      <c r="B45" s="493"/>
      <c r="C45" s="490"/>
      <c r="D45" s="66"/>
    </row>
    <row r="48" spans="1:4" s="56" customFormat="1" x14ac:dyDescent="0.2"/>
  </sheetData>
  <phoneticPr fontId="27" type="noConversion"/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indexed="39"/>
    <pageSetUpPr fitToPage="1"/>
  </sheetPr>
  <dimension ref="B1:I46"/>
  <sheetViews>
    <sheetView showGridLines="0" view="pageBreakPreview" zoomScaleNormal="75" zoomScaleSheetLayoutView="100" workbookViewId="0">
      <selection activeCell="F2" sqref="F2:I2"/>
    </sheetView>
  </sheetViews>
  <sheetFormatPr defaultColWidth="9.109375" defaultRowHeight="10.199999999999999" x14ac:dyDescent="0.2"/>
  <cols>
    <col min="1" max="1" width="3" style="224" customWidth="1"/>
    <col min="2" max="2" width="58.33203125" style="224" customWidth="1"/>
    <col min="3" max="3" width="8.6640625" style="224" customWidth="1"/>
    <col min="4" max="5" width="22.88671875" style="224" customWidth="1"/>
    <col min="6" max="16384" width="9.109375" style="224"/>
  </cols>
  <sheetData>
    <row r="1" spans="2:9" s="222" customFormat="1" x14ac:dyDescent="0.2">
      <c r="B1" s="223"/>
    </row>
    <row r="2" spans="2:9" s="225" customFormat="1" x14ac:dyDescent="0.25">
      <c r="B2" s="238" t="s">
        <v>148</v>
      </c>
      <c r="C2" s="238" t="s">
        <v>423</v>
      </c>
      <c r="D2" s="238" t="str">
        <f>CONCATENATE("za okres ",'Dane podstawowe'!$B$7)</f>
        <v>za okres 01.01.2016-31.12.2016</v>
      </c>
      <c r="E2" s="238" t="str">
        <f>CONCATENATE("za okres ",'Dane podstawowe'!$B$12)</f>
        <v>za okres 01.01.2015-31.12.2015</v>
      </c>
      <c r="F2" s="228"/>
      <c r="G2" s="228"/>
      <c r="H2" s="228"/>
      <c r="I2" s="228"/>
    </row>
    <row r="3" spans="2:9" s="226" customFormat="1" x14ac:dyDescent="0.25">
      <c r="B3" s="239" t="s">
        <v>369</v>
      </c>
      <c r="C3" s="240" t="s">
        <v>534</v>
      </c>
      <c r="D3" s="365">
        <f>SUM(D4:D6)</f>
        <v>41342256</v>
      </c>
      <c r="E3" s="365">
        <f>SUM(E4:E6)</f>
        <v>38260289</v>
      </c>
    </row>
    <row r="4" spans="2:9" s="228" customFormat="1" x14ac:dyDescent="0.25">
      <c r="B4" s="233" t="s">
        <v>125</v>
      </c>
      <c r="C4" s="240"/>
      <c r="D4" s="547">
        <v>41342256</v>
      </c>
      <c r="E4" s="547">
        <v>38260289</v>
      </c>
    </row>
    <row r="5" spans="2:9" s="228" customFormat="1" x14ac:dyDescent="0.25">
      <c r="B5" s="233" t="s">
        <v>124</v>
      </c>
      <c r="C5" s="240"/>
      <c r="D5" s="547"/>
      <c r="E5" s="547"/>
    </row>
    <row r="6" spans="2:9" s="228" customFormat="1" x14ac:dyDescent="0.25">
      <c r="B6" s="233" t="s">
        <v>126</v>
      </c>
      <c r="C6" s="240"/>
      <c r="D6" s="547"/>
      <c r="E6" s="547"/>
    </row>
    <row r="7" spans="2:9" s="228" customFormat="1" x14ac:dyDescent="0.25">
      <c r="B7" s="239" t="s">
        <v>738</v>
      </c>
      <c r="C7" s="240" t="s">
        <v>558</v>
      </c>
      <c r="D7" s="367">
        <f>SUM(D8:D15)</f>
        <v>35612639</v>
      </c>
      <c r="E7" s="367">
        <f>SUM(E8:E15)</f>
        <v>31923273</v>
      </c>
    </row>
    <row r="8" spans="2:9" s="226" customFormat="1" x14ac:dyDescent="0.25">
      <c r="B8" s="495" t="s">
        <v>31</v>
      </c>
      <c r="C8" s="240"/>
      <c r="D8" s="370">
        <v>845188</v>
      </c>
      <c r="E8" s="370">
        <v>547045</v>
      </c>
    </row>
    <row r="9" spans="2:9" s="228" customFormat="1" x14ac:dyDescent="0.25">
      <c r="B9" s="495" t="s">
        <v>739</v>
      </c>
      <c r="C9" s="240"/>
      <c r="D9" s="547">
        <v>281942</v>
      </c>
      <c r="E9" s="547">
        <v>249464</v>
      </c>
    </row>
    <row r="10" spans="2:9" s="228" customFormat="1" x14ac:dyDescent="0.25">
      <c r="B10" s="495" t="s">
        <v>740</v>
      </c>
      <c r="C10" s="240"/>
      <c r="D10" s="370">
        <v>24336841</v>
      </c>
      <c r="E10" s="370">
        <v>22181090</v>
      </c>
    </row>
    <row r="11" spans="2:9" s="228" customFormat="1" x14ac:dyDescent="0.25">
      <c r="B11" s="495" t="s">
        <v>741</v>
      </c>
      <c r="C11" s="240"/>
      <c r="D11" s="370">
        <v>126517</v>
      </c>
      <c r="E11" s="370">
        <v>73350</v>
      </c>
    </row>
    <row r="12" spans="2:9" s="228" customFormat="1" x14ac:dyDescent="0.25">
      <c r="B12" s="495" t="s">
        <v>262</v>
      </c>
      <c r="C12" s="240"/>
      <c r="D12" s="370">
        <v>7223875</v>
      </c>
      <c r="E12" s="370">
        <v>6586876</v>
      </c>
    </row>
    <row r="13" spans="2:9" s="228" customFormat="1" x14ac:dyDescent="0.25">
      <c r="B13" s="495" t="s">
        <v>742</v>
      </c>
      <c r="C13" s="240"/>
      <c r="D13" s="370">
        <v>947184</v>
      </c>
      <c r="E13" s="370">
        <v>646995</v>
      </c>
    </row>
    <row r="14" spans="2:9" s="228" customFormat="1" x14ac:dyDescent="0.25">
      <c r="B14" s="495" t="s">
        <v>743</v>
      </c>
      <c r="C14" s="240"/>
      <c r="D14" s="370">
        <v>1851092</v>
      </c>
      <c r="E14" s="370">
        <v>1638453</v>
      </c>
    </row>
    <row r="15" spans="2:9" s="228" customFormat="1" x14ac:dyDescent="0.25">
      <c r="B15" s="495" t="s">
        <v>36</v>
      </c>
      <c r="C15" s="240"/>
      <c r="D15" s="369"/>
      <c r="E15" s="369"/>
    </row>
    <row r="16" spans="2:9" s="228" customFormat="1" x14ac:dyDescent="0.25">
      <c r="B16" s="241" t="s">
        <v>744</v>
      </c>
      <c r="C16" s="240"/>
      <c r="D16" s="369">
        <f>D3-D7</f>
        <v>5729617</v>
      </c>
      <c r="E16" s="369">
        <f>E3-E7</f>
        <v>6337016</v>
      </c>
    </row>
    <row r="17" spans="2:6" s="228" customFormat="1" x14ac:dyDescent="0.25">
      <c r="B17" s="495" t="s">
        <v>716</v>
      </c>
      <c r="C17" s="240"/>
      <c r="D17" s="369"/>
      <c r="E17" s="369"/>
      <c r="F17" s="542"/>
    </row>
    <row r="18" spans="2:6" s="228" customFormat="1" x14ac:dyDescent="0.25">
      <c r="B18" s="227" t="s">
        <v>445</v>
      </c>
      <c r="C18" s="240" t="s">
        <v>559</v>
      </c>
      <c r="D18" s="547">
        <v>553255</v>
      </c>
      <c r="E18" s="547">
        <v>251803</v>
      </c>
    </row>
    <row r="19" spans="2:6" s="228" customFormat="1" x14ac:dyDescent="0.25">
      <c r="B19" s="227" t="s">
        <v>446</v>
      </c>
      <c r="C19" s="240" t="s">
        <v>559</v>
      </c>
      <c r="D19" s="547">
        <v>945303.8</v>
      </c>
      <c r="E19" s="547">
        <v>341588</v>
      </c>
    </row>
    <row r="20" spans="2:6" s="228" customFormat="1" x14ac:dyDescent="0.25">
      <c r="B20" s="501" t="s">
        <v>715</v>
      </c>
      <c r="C20" s="240"/>
      <c r="D20" s="547"/>
      <c r="E20" s="547"/>
      <c r="F20" s="542"/>
    </row>
    <row r="21" spans="2:6" s="228" customFormat="1" x14ac:dyDescent="0.25">
      <c r="B21" s="241" t="s">
        <v>447</v>
      </c>
      <c r="C21" s="240"/>
      <c r="D21" s="369">
        <f>D16-D17+D18-D19-D20</f>
        <v>5337568.2</v>
      </c>
      <c r="E21" s="369">
        <f>E16-E17+E18-E19-E20</f>
        <v>6247231</v>
      </c>
    </row>
    <row r="22" spans="2:6" s="228" customFormat="1" x14ac:dyDescent="0.25">
      <c r="B22" s="227" t="s">
        <v>415</v>
      </c>
      <c r="C22" s="240" t="s">
        <v>560</v>
      </c>
      <c r="D22" s="370">
        <v>86443</v>
      </c>
      <c r="E22" s="370">
        <v>88235</v>
      </c>
    </row>
    <row r="23" spans="2:6" s="228" customFormat="1" x14ac:dyDescent="0.25">
      <c r="B23" s="227" t="s">
        <v>658</v>
      </c>
      <c r="C23" s="240" t="s">
        <v>560</v>
      </c>
      <c r="D23" s="547">
        <v>187143.12</v>
      </c>
      <c r="E23" s="547">
        <v>913902</v>
      </c>
    </row>
    <row r="24" spans="2:6" s="228" customFormat="1" x14ac:dyDescent="0.2">
      <c r="B24" s="244" t="s">
        <v>535</v>
      </c>
      <c r="C24" s="240"/>
      <c r="D24" s="547">
        <v>0</v>
      </c>
      <c r="E24" s="547">
        <v>96514</v>
      </c>
    </row>
    <row r="25" spans="2:6" s="228" customFormat="1" x14ac:dyDescent="0.25">
      <c r="B25" s="501" t="s">
        <v>757</v>
      </c>
      <c r="C25" s="240"/>
      <c r="D25" s="547">
        <v>1466</v>
      </c>
      <c r="E25" s="547">
        <v>39543</v>
      </c>
    </row>
    <row r="26" spans="2:6" s="228" customFormat="1" x14ac:dyDescent="0.25">
      <c r="B26" s="241" t="s">
        <v>579</v>
      </c>
      <c r="C26" s="240"/>
      <c r="D26" s="369">
        <f>D21+D22-D23-D24-D25</f>
        <v>5235402.08</v>
      </c>
      <c r="E26" s="369">
        <f>E21+E22-E23-E24-E25</f>
        <v>5285507</v>
      </c>
    </row>
    <row r="27" spans="2:6" s="228" customFormat="1" x14ac:dyDescent="0.25">
      <c r="B27" s="227" t="s">
        <v>580</v>
      </c>
      <c r="C27" s="240" t="s">
        <v>561</v>
      </c>
      <c r="D27" s="370">
        <v>1256744.8600000001</v>
      </c>
      <c r="E27" s="370">
        <v>1235945</v>
      </c>
    </row>
    <row r="28" spans="2:6" s="228" customFormat="1" x14ac:dyDescent="0.25">
      <c r="B28" s="501" t="s">
        <v>752</v>
      </c>
      <c r="C28" s="240"/>
      <c r="D28" s="370"/>
      <c r="E28" s="370"/>
    </row>
    <row r="29" spans="2:6" s="228" customFormat="1" x14ac:dyDescent="0.25">
      <c r="B29" s="241" t="s">
        <v>448</v>
      </c>
      <c r="C29" s="240" t="s">
        <v>562</v>
      </c>
      <c r="D29" s="369">
        <f>D26-D27</f>
        <v>3978657.2199999997</v>
      </c>
      <c r="E29" s="369">
        <f>E26-E27</f>
        <v>4049562</v>
      </c>
    </row>
    <row r="30" spans="2:6" s="228" customFormat="1" x14ac:dyDescent="0.25">
      <c r="B30" s="242" t="s">
        <v>449</v>
      </c>
      <c r="C30" s="240" t="s">
        <v>562</v>
      </c>
      <c r="D30" s="547"/>
      <c r="E30" s="547"/>
    </row>
    <row r="31" spans="2:6" s="230" customFormat="1" x14ac:dyDescent="0.25">
      <c r="B31" s="241" t="s">
        <v>254</v>
      </c>
      <c r="C31" s="240" t="s">
        <v>562</v>
      </c>
      <c r="D31" s="369">
        <f>D29+D30</f>
        <v>3978657.2199999997</v>
      </c>
      <c r="E31" s="369">
        <f>E29+E30</f>
        <v>4049562</v>
      </c>
    </row>
    <row r="32" spans="2:6" s="230" customFormat="1" x14ac:dyDescent="0.25">
      <c r="B32" s="241"/>
      <c r="C32" s="240"/>
      <c r="D32" s="369"/>
      <c r="E32" s="369"/>
    </row>
    <row r="33" spans="2:5" s="243" customFormat="1" x14ac:dyDescent="0.2">
      <c r="B33" s="60" t="s">
        <v>668</v>
      </c>
      <c r="C33" s="240"/>
      <c r="D33" s="370">
        <v>433276</v>
      </c>
      <c r="E33" s="370">
        <v>260000</v>
      </c>
    </row>
    <row r="34" spans="2:5" s="230" customFormat="1" x14ac:dyDescent="0.25">
      <c r="B34" s="229" t="s">
        <v>159</v>
      </c>
      <c r="C34" s="240"/>
      <c r="D34" s="365">
        <f>D31-D33</f>
        <v>3545381.2199999997</v>
      </c>
      <c r="E34" s="365">
        <f>E31-E33</f>
        <v>3789562</v>
      </c>
    </row>
    <row r="35" spans="2:5" s="230" customFormat="1" x14ac:dyDescent="0.25">
      <c r="B35" s="229"/>
      <c r="C35" s="240"/>
      <c r="D35" s="365"/>
      <c r="E35" s="365"/>
    </row>
    <row r="36" spans="2:5" s="230" customFormat="1" x14ac:dyDescent="0.25">
      <c r="B36" s="231" t="s">
        <v>127</v>
      </c>
      <c r="C36" s="240"/>
      <c r="D36" s="365"/>
      <c r="E36" s="365"/>
    </row>
    <row r="37" spans="2:5" s="230" customFormat="1" x14ac:dyDescent="0.2">
      <c r="B37" s="232" t="s">
        <v>160</v>
      </c>
      <c r="C37" s="240"/>
      <c r="D37" s="594">
        <f>D31/2291551</f>
        <v>1.7362289645746483</v>
      </c>
      <c r="E37" s="594">
        <f>E31/2215500</f>
        <v>1.8278320920785376</v>
      </c>
    </row>
    <row r="38" spans="2:5" s="230" customFormat="1" x14ac:dyDescent="0.2">
      <c r="B38" s="232" t="s">
        <v>161</v>
      </c>
      <c r="C38" s="240"/>
      <c r="D38" s="594">
        <f>D31/2291551</f>
        <v>1.7362289645746483</v>
      </c>
      <c r="E38" s="594">
        <f>E31/2215500</f>
        <v>1.8278320920785376</v>
      </c>
    </row>
    <row r="39" spans="2:5" s="228" customFormat="1" x14ac:dyDescent="0.25">
      <c r="B39" s="229" t="s">
        <v>158</v>
      </c>
      <c r="C39" s="240"/>
      <c r="D39" s="367"/>
      <c r="E39" s="367"/>
    </row>
    <row r="40" spans="2:5" s="230" customFormat="1" x14ac:dyDescent="0.2">
      <c r="B40" s="232" t="s">
        <v>160</v>
      </c>
      <c r="C40" s="240"/>
      <c r="D40" s="594">
        <f>D31/2291551</f>
        <v>1.7362289645746483</v>
      </c>
      <c r="E40" s="594">
        <f>E31/2215500</f>
        <v>1.8278320920785376</v>
      </c>
    </row>
    <row r="41" spans="2:5" s="230" customFormat="1" x14ac:dyDescent="0.2">
      <c r="B41" s="232" t="s">
        <v>161</v>
      </c>
      <c r="C41" s="495"/>
      <c r="D41" s="594">
        <f>D31/2291551</f>
        <v>1.7362289645746483</v>
      </c>
      <c r="E41" s="594">
        <f>E31/2215500</f>
        <v>1.8278320920785376</v>
      </c>
    </row>
    <row r="42" spans="2:5" s="228" customFormat="1" x14ac:dyDescent="0.25">
      <c r="B42" s="229" t="s">
        <v>368</v>
      </c>
      <c r="C42" s="495"/>
      <c r="D42" s="367">
        <v>0</v>
      </c>
      <c r="E42" s="367">
        <v>0</v>
      </c>
    </row>
    <row r="43" spans="2:5" x14ac:dyDescent="0.2">
      <c r="B43" s="234"/>
      <c r="C43" s="234"/>
      <c r="D43" s="235"/>
      <c r="E43" s="235"/>
    </row>
    <row r="44" spans="2:5" x14ac:dyDescent="0.2">
      <c r="B44" s="236"/>
      <c r="C44" s="236"/>
      <c r="D44" s="235"/>
      <c r="E44" s="235"/>
    </row>
    <row r="45" spans="2:5" x14ac:dyDescent="0.2">
      <c r="B45" s="237"/>
      <c r="C45" s="237"/>
      <c r="D45" s="235"/>
      <c r="E45" s="235"/>
    </row>
    <row r="46" spans="2:5" x14ac:dyDescent="0.2">
      <c r="B46" s="237"/>
      <c r="C46" s="237"/>
      <c r="D46" s="235"/>
      <c r="E46" s="235"/>
    </row>
  </sheetData>
  <phoneticPr fontId="27" type="noConversion"/>
  <pageMargins left="0.7" right="0.7" top="0.75" bottom="0.75" header="0.3" footer="0.3"/>
  <pageSetup paperSize="9" scale="5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tabColor theme="0"/>
  </sheetPr>
  <dimension ref="A1:C18"/>
  <sheetViews>
    <sheetView showGridLines="0" view="pageBreakPreview" zoomScaleNormal="100" zoomScaleSheetLayoutView="100" workbookViewId="0">
      <selection activeCell="R44" sqref="R44"/>
    </sheetView>
  </sheetViews>
  <sheetFormatPr defaultColWidth="9.109375" defaultRowHeight="10.199999999999999" x14ac:dyDescent="0.2"/>
  <cols>
    <col min="1" max="1" width="42.6640625" style="279" customWidth="1"/>
    <col min="2" max="3" width="15.44140625" style="279" customWidth="1"/>
    <col min="4" max="4" width="15.6640625" style="279" customWidth="1"/>
    <col min="5" max="16384" width="9.109375" style="279"/>
  </cols>
  <sheetData>
    <row r="1" spans="1:3" s="149" customFormat="1" x14ac:dyDescent="0.2">
      <c r="A1" s="265"/>
    </row>
    <row r="2" spans="1:3" s="53" customFormat="1" ht="13.2" x14ac:dyDescent="0.25">
      <c r="A2" s="535" t="s">
        <v>991</v>
      </c>
    </row>
    <row r="3" spans="1:3" s="53" customFormat="1" x14ac:dyDescent="0.2"/>
    <row r="4" spans="1:3" s="3" customFormat="1" x14ac:dyDescent="0.2">
      <c r="A4" s="53"/>
      <c r="B4" s="771"/>
      <c r="C4" s="771"/>
    </row>
    <row r="5" spans="1:3" s="53" customFormat="1" x14ac:dyDescent="0.2">
      <c r="A5" s="126" t="s">
        <v>416</v>
      </c>
      <c r="B5" s="623">
        <f>'Dane podstawowe'!$B$9</f>
        <v>42735</v>
      </c>
      <c r="C5" s="623">
        <f>'Dane podstawowe'!$B$14</f>
        <v>42369</v>
      </c>
    </row>
    <row r="6" spans="1:3" s="252" customFormat="1" x14ac:dyDescent="0.2">
      <c r="A6" s="55" t="s">
        <v>409</v>
      </c>
      <c r="B6" s="254">
        <f>(Pasywa!D14+Pasywa!D22)</f>
        <v>36680</v>
      </c>
      <c r="C6" s="254">
        <f>(Pasywa!E14+Pasywa!E22)</f>
        <v>17036</v>
      </c>
    </row>
    <row r="7" spans="1:3" s="3" customFormat="1" ht="20.399999999999999" x14ac:dyDescent="0.2">
      <c r="A7" s="48" t="s">
        <v>411</v>
      </c>
      <c r="B7" s="106">
        <f>(Pasywa!D24+Pasywa!D26)</f>
        <v>5907802</v>
      </c>
      <c r="C7" s="106">
        <f>(Pasywa!E24+Pasywa!E26)</f>
        <v>5753791</v>
      </c>
    </row>
    <row r="8" spans="1:3" s="252" customFormat="1" x14ac:dyDescent="0.2">
      <c r="A8" s="55" t="s">
        <v>75</v>
      </c>
      <c r="B8" s="254">
        <f>Aktywa!D25</f>
        <v>4224347</v>
      </c>
      <c r="C8" s="254">
        <f>Aktywa!E25</f>
        <v>3590384</v>
      </c>
    </row>
    <row r="9" spans="1:3" s="53" customFormat="1" x14ac:dyDescent="0.2">
      <c r="A9" s="47" t="s">
        <v>76</v>
      </c>
      <c r="B9" s="116">
        <f>B6+B7-B8</f>
        <v>1720135</v>
      </c>
      <c r="C9" s="116">
        <f>C6+C7-C8</f>
        <v>2180443</v>
      </c>
    </row>
    <row r="10" spans="1:3" s="252" customFormat="1" x14ac:dyDescent="0.2">
      <c r="A10" s="783"/>
      <c r="B10" s="784"/>
      <c r="C10" s="784"/>
    </row>
    <row r="11" spans="1:3" s="3" customFormat="1" x14ac:dyDescent="0.2">
      <c r="A11" s="48" t="s">
        <v>410</v>
      </c>
      <c r="B11" s="106"/>
      <c r="C11" s="106"/>
    </row>
    <row r="12" spans="1:3" s="252" customFormat="1" x14ac:dyDescent="0.2">
      <c r="A12" s="55" t="s">
        <v>77</v>
      </c>
      <c r="B12" s="254">
        <f>Pasywa!D3</f>
        <v>22477097.210000001</v>
      </c>
      <c r="C12" s="254">
        <f>Pasywa!E3</f>
        <v>18907917</v>
      </c>
    </row>
    <row r="13" spans="1:3" s="3" customFormat="1" x14ac:dyDescent="0.2">
      <c r="A13" s="48" t="s">
        <v>78</v>
      </c>
      <c r="B13" s="106"/>
      <c r="C13" s="106"/>
    </row>
    <row r="14" spans="1:3" s="53" customFormat="1" x14ac:dyDescent="0.2">
      <c r="A14" s="47" t="s">
        <v>79</v>
      </c>
      <c r="B14" s="116">
        <f>B13+B12+B11</f>
        <v>22477097.210000001</v>
      </c>
      <c r="C14" s="116">
        <f>C13+C12+C11</f>
        <v>18907917</v>
      </c>
    </row>
    <row r="15" spans="1:3" s="53" customFormat="1" x14ac:dyDescent="0.2">
      <c r="A15" s="73" t="s">
        <v>80</v>
      </c>
      <c r="B15" s="116">
        <f>B14+B9</f>
        <v>24197232.210000001</v>
      </c>
      <c r="C15" s="116">
        <f>C14+C9</f>
        <v>21088360</v>
      </c>
    </row>
    <row r="16" spans="1:3" s="252" customFormat="1" x14ac:dyDescent="0.2">
      <c r="A16" s="55" t="s">
        <v>81</v>
      </c>
      <c r="B16" s="617">
        <f>B9/B15</f>
        <v>7.108808912819041E-2</v>
      </c>
      <c r="C16" s="617">
        <f>C9/C15</f>
        <v>0.10339556987835943</v>
      </c>
    </row>
    <row r="17" s="252" customFormat="1" x14ac:dyDescent="0.2"/>
    <row r="18" s="252" customFormat="1" x14ac:dyDescent="0.2"/>
  </sheetData>
  <mergeCells count="2">
    <mergeCell ref="B4:C4"/>
    <mergeCell ref="A10:C10"/>
  </mergeCells>
  <phoneticPr fontId="27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7"/>
  <sheetViews>
    <sheetView showGridLines="0" view="pageBreakPreview" zoomScale="90" zoomScaleNormal="100" zoomScaleSheetLayoutView="90" workbookViewId="0">
      <selection activeCell="B28" sqref="B28"/>
    </sheetView>
  </sheetViews>
  <sheetFormatPr defaultRowHeight="13.2" x14ac:dyDescent="0.25"/>
  <cols>
    <col min="1" max="1" width="64" style="589" customWidth="1"/>
    <col min="2" max="13" width="15.44140625" style="593" customWidth="1"/>
    <col min="14" max="250" width="9.109375" style="589"/>
    <col min="251" max="251" width="64" style="589" customWidth="1"/>
    <col min="252" max="267" width="15.44140625" style="589" customWidth="1"/>
    <col min="268" max="268" width="14.33203125" style="589" customWidth="1"/>
    <col min="269" max="269" width="18.33203125" style="589" customWidth="1"/>
    <col min="270" max="506" width="9.109375" style="589"/>
    <col min="507" max="507" width="64" style="589" customWidth="1"/>
    <col min="508" max="523" width="15.44140625" style="589" customWidth="1"/>
    <col min="524" max="524" width="14.33203125" style="589" customWidth="1"/>
    <col min="525" max="525" width="18.33203125" style="589" customWidth="1"/>
    <col min="526" max="762" width="9.109375" style="589"/>
    <col min="763" max="763" width="64" style="589" customWidth="1"/>
    <col min="764" max="779" width="15.44140625" style="589" customWidth="1"/>
    <col min="780" max="780" width="14.33203125" style="589" customWidth="1"/>
    <col min="781" max="781" width="18.33203125" style="589" customWidth="1"/>
    <col min="782" max="1018" width="9.109375" style="589"/>
    <col min="1019" max="1019" width="64" style="589" customWidth="1"/>
    <col min="1020" max="1035" width="15.44140625" style="589" customWidth="1"/>
    <col min="1036" max="1036" width="14.33203125" style="589" customWidth="1"/>
    <col min="1037" max="1037" width="18.33203125" style="589" customWidth="1"/>
    <col min="1038" max="1274" width="9.109375" style="589"/>
    <col min="1275" max="1275" width="64" style="589" customWidth="1"/>
    <col min="1276" max="1291" width="15.44140625" style="589" customWidth="1"/>
    <col min="1292" max="1292" width="14.33203125" style="589" customWidth="1"/>
    <col min="1293" max="1293" width="18.33203125" style="589" customWidth="1"/>
    <col min="1294" max="1530" width="9.109375" style="589"/>
    <col min="1531" max="1531" width="64" style="589" customWidth="1"/>
    <col min="1532" max="1547" width="15.44140625" style="589" customWidth="1"/>
    <col min="1548" max="1548" width="14.33203125" style="589" customWidth="1"/>
    <col min="1549" max="1549" width="18.33203125" style="589" customWidth="1"/>
    <col min="1550" max="1786" width="9.109375" style="589"/>
    <col min="1787" max="1787" width="64" style="589" customWidth="1"/>
    <col min="1788" max="1803" width="15.44140625" style="589" customWidth="1"/>
    <col min="1804" max="1804" width="14.33203125" style="589" customWidth="1"/>
    <col min="1805" max="1805" width="18.33203125" style="589" customWidth="1"/>
    <col min="1806" max="2042" width="9.109375" style="589"/>
    <col min="2043" max="2043" width="64" style="589" customWidth="1"/>
    <col min="2044" max="2059" width="15.44140625" style="589" customWidth="1"/>
    <col min="2060" max="2060" width="14.33203125" style="589" customWidth="1"/>
    <col min="2061" max="2061" width="18.33203125" style="589" customWidth="1"/>
    <col min="2062" max="2298" width="9.109375" style="589"/>
    <col min="2299" max="2299" width="64" style="589" customWidth="1"/>
    <col min="2300" max="2315" width="15.44140625" style="589" customWidth="1"/>
    <col min="2316" max="2316" width="14.33203125" style="589" customWidth="1"/>
    <col min="2317" max="2317" width="18.33203125" style="589" customWidth="1"/>
    <col min="2318" max="2554" width="9.109375" style="589"/>
    <col min="2555" max="2555" width="64" style="589" customWidth="1"/>
    <col min="2556" max="2571" width="15.44140625" style="589" customWidth="1"/>
    <col min="2572" max="2572" width="14.33203125" style="589" customWidth="1"/>
    <col min="2573" max="2573" width="18.33203125" style="589" customWidth="1"/>
    <col min="2574" max="2810" width="9.109375" style="589"/>
    <col min="2811" max="2811" width="64" style="589" customWidth="1"/>
    <col min="2812" max="2827" width="15.44140625" style="589" customWidth="1"/>
    <col min="2828" max="2828" width="14.33203125" style="589" customWidth="1"/>
    <col min="2829" max="2829" width="18.33203125" style="589" customWidth="1"/>
    <col min="2830" max="3066" width="9.109375" style="589"/>
    <col min="3067" max="3067" width="64" style="589" customWidth="1"/>
    <col min="3068" max="3083" width="15.44140625" style="589" customWidth="1"/>
    <col min="3084" max="3084" width="14.33203125" style="589" customWidth="1"/>
    <col min="3085" max="3085" width="18.33203125" style="589" customWidth="1"/>
    <col min="3086" max="3322" width="9.109375" style="589"/>
    <col min="3323" max="3323" width="64" style="589" customWidth="1"/>
    <col min="3324" max="3339" width="15.44140625" style="589" customWidth="1"/>
    <col min="3340" max="3340" width="14.33203125" style="589" customWidth="1"/>
    <col min="3341" max="3341" width="18.33203125" style="589" customWidth="1"/>
    <col min="3342" max="3578" width="9.109375" style="589"/>
    <col min="3579" max="3579" width="64" style="589" customWidth="1"/>
    <col min="3580" max="3595" width="15.44140625" style="589" customWidth="1"/>
    <col min="3596" max="3596" width="14.33203125" style="589" customWidth="1"/>
    <col min="3597" max="3597" width="18.33203125" style="589" customWidth="1"/>
    <col min="3598" max="3834" width="9.109375" style="589"/>
    <col min="3835" max="3835" width="64" style="589" customWidth="1"/>
    <col min="3836" max="3851" width="15.44140625" style="589" customWidth="1"/>
    <col min="3852" max="3852" width="14.33203125" style="589" customWidth="1"/>
    <col min="3853" max="3853" width="18.33203125" style="589" customWidth="1"/>
    <col min="3854" max="4090" width="9.109375" style="589"/>
    <col min="4091" max="4091" width="64" style="589" customWidth="1"/>
    <col min="4092" max="4107" width="15.44140625" style="589" customWidth="1"/>
    <col min="4108" max="4108" width="14.33203125" style="589" customWidth="1"/>
    <col min="4109" max="4109" width="18.33203125" style="589" customWidth="1"/>
    <col min="4110" max="4346" width="9.109375" style="589"/>
    <col min="4347" max="4347" width="64" style="589" customWidth="1"/>
    <col min="4348" max="4363" width="15.44140625" style="589" customWidth="1"/>
    <col min="4364" max="4364" width="14.33203125" style="589" customWidth="1"/>
    <col min="4365" max="4365" width="18.33203125" style="589" customWidth="1"/>
    <col min="4366" max="4602" width="9.109375" style="589"/>
    <col min="4603" max="4603" width="64" style="589" customWidth="1"/>
    <col min="4604" max="4619" width="15.44140625" style="589" customWidth="1"/>
    <col min="4620" max="4620" width="14.33203125" style="589" customWidth="1"/>
    <col min="4621" max="4621" width="18.33203125" style="589" customWidth="1"/>
    <col min="4622" max="4858" width="9.109375" style="589"/>
    <col min="4859" max="4859" width="64" style="589" customWidth="1"/>
    <col min="4860" max="4875" width="15.44140625" style="589" customWidth="1"/>
    <col min="4876" max="4876" width="14.33203125" style="589" customWidth="1"/>
    <col min="4877" max="4877" width="18.33203125" style="589" customWidth="1"/>
    <col min="4878" max="5114" width="9.109375" style="589"/>
    <col min="5115" max="5115" width="64" style="589" customWidth="1"/>
    <col min="5116" max="5131" width="15.44140625" style="589" customWidth="1"/>
    <col min="5132" max="5132" width="14.33203125" style="589" customWidth="1"/>
    <col min="5133" max="5133" width="18.33203125" style="589" customWidth="1"/>
    <col min="5134" max="5370" width="9.109375" style="589"/>
    <col min="5371" max="5371" width="64" style="589" customWidth="1"/>
    <col min="5372" max="5387" width="15.44140625" style="589" customWidth="1"/>
    <col min="5388" max="5388" width="14.33203125" style="589" customWidth="1"/>
    <col min="5389" max="5389" width="18.33203125" style="589" customWidth="1"/>
    <col min="5390" max="5626" width="9.109375" style="589"/>
    <col min="5627" max="5627" width="64" style="589" customWidth="1"/>
    <col min="5628" max="5643" width="15.44140625" style="589" customWidth="1"/>
    <col min="5644" max="5644" width="14.33203125" style="589" customWidth="1"/>
    <col min="5645" max="5645" width="18.33203125" style="589" customWidth="1"/>
    <col min="5646" max="5882" width="9.109375" style="589"/>
    <col min="5883" max="5883" width="64" style="589" customWidth="1"/>
    <col min="5884" max="5899" width="15.44140625" style="589" customWidth="1"/>
    <col min="5900" max="5900" width="14.33203125" style="589" customWidth="1"/>
    <col min="5901" max="5901" width="18.33203125" style="589" customWidth="1"/>
    <col min="5902" max="6138" width="9.109375" style="589"/>
    <col min="6139" max="6139" width="64" style="589" customWidth="1"/>
    <col min="6140" max="6155" width="15.44140625" style="589" customWidth="1"/>
    <col min="6156" max="6156" width="14.33203125" style="589" customWidth="1"/>
    <col min="6157" max="6157" width="18.33203125" style="589" customWidth="1"/>
    <col min="6158" max="6394" width="9.109375" style="589"/>
    <col min="6395" max="6395" width="64" style="589" customWidth="1"/>
    <col min="6396" max="6411" width="15.44140625" style="589" customWidth="1"/>
    <col min="6412" max="6412" width="14.33203125" style="589" customWidth="1"/>
    <col min="6413" max="6413" width="18.33203125" style="589" customWidth="1"/>
    <col min="6414" max="6650" width="9.109375" style="589"/>
    <col min="6651" max="6651" width="64" style="589" customWidth="1"/>
    <col min="6652" max="6667" width="15.44140625" style="589" customWidth="1"/>
    <col min="6668" max="6668" width="14.33203125" style="589" customWidth="1"/>
    <col min="6669" max="6669" width="18.33203125" style="589" customWidth="1"/>
    <col min="6670" max="6906" width="9.109375" style="589"/>
    <col min="6907" max="6907" width="64" style="589" customWidth="1"/>
    <col min="6908" max="6923" width="15.44140625" style="589" customWidth="1"/>
    <col min="6924" max="6924" width="14.33203125" style="589" customWidth="1"/>
    <col min="6925" max="6925" width="18.33203125" style="589" customWidth="1"/>
    <col min="6926" max="7162" width="9.109375" style="589"/>
    <col min="7163" max="7163" width="64" style="589" customWidth="1"/>
    <col min="7164" max="7179" width="15.44140625" style="589" customWidth="1"/>
    <col min="7180" max="7180" width="14.33203125" style="589" customWidth="1"/>
    <col min="7181" max="7181" width="18.33203125" style="589" customWidth="1"/>
    <col min="7182" max="7418" width="9.109375" style="589"/>
    <col min="7419" max="7419" width="64" style="589" customWidth="1"/>
    <col min="7420" max="7435" width="15.44140625" style="589" customWidth="1"/>
    <col min="7436" max="7436" width="14.33203125" style="589" customWidth="1"/>
    <col min="7437" max="7437" width="18.33203125" style="589" customWidth="1"/>
    <col min="7438" max="7674" width="9.109375" style="589"/>
    <col min="7675" max="7675" width="64" style="589" customWidth="1"/>
    <col min="7676" max="7691" width="15.44140625" style="589" customWidth="1"/>
    <col min="7692" max="7692" width="14.33203125" style="589" customWidth="1"/>
    <col min="7693" max="7693" width="18.33203125" style="589" customWidth="1"/>
    <col min="7694" max="7930" width="9.109375" style="589"/>
    <col min="7931" max="7931" width="64" style="589" customWidth="1"/>
    <col min="7932" max="7947" width="15.44140625" style="589" customWidth="1"/>
    <col min="7948" max="7948" width="14.33203125" style="589" customWidth="1"/>
    <col min="7949" max="7949" width="18.33203125" style="589" customWidth="1"/>
    <col min="7950" max="8186" width="9.109375" style="589"/>
    <col min="8187" max="8187" width="64" style="589" customWidth="1"/>
    <col min="8188" max="8203" width="15.44140625" style="589" customWidth="1"/>
    <col min="8204" max="8204" width="14.33203125" style="589" customWidth="1"/>
    <col min="8205" max="8205" width="18.33203125" style="589" customWidth="1"/>
    <col min="8206" max="8442" width="9.109375" style="589"/>
    <col min="8443" max="8443" width="64" style="589" customWidth="1"/>
    <col min="8444" max="8459" width="15.44140625" style="589" customWidth="1"/>
    <col min="8460" max="8460" width="14.33203125" style="589" customWidth="1"/>
    <col min="8461" max="8461" width="18.33203125" style="589" customWidth="1"/>
    <col min="8462" max="8698" width="9.109375" style="589"/>
    <col min="8699" max="8699" width="64" style="589" customWidth="1"/>
    <col min="8700" max="8715" width="15.44140625" style="589" customWidth="1"/>
    <col min="8716" max="8716" width="14.33203125" style="589" customWidth="1"/>
    <col min="8717" max="8717" width="18.33203125" style="589" customWidth="1"/>
    <col min="8718" max="8954" width="9.109375" style="589"/>
    <col min="8955" max="8955" width="64" style="589" customWidth="1"/>
    <col min="8956" max="8971" width="15.44140625" style="589" customWidth="1"/>
    <col min="8972" max="8972" width="14.33203125" style="589" customWidth="1"/>
    <col min="8973" max="8973" width="18.33203125" style="589" customWidth="1"/>
    <col min="8974" max="9210" width="9.109375" style="589"/>
    <col min="9211" max="9211" width="64" style="589" customWidth="1"/>
    <col min="9212" max="9227" width="15.44140625" style="589" customWidth="1"/>
    <col min="9228" max="9228" width="14.33203125" style="589" customWidth="1"/>
    <col min="9229" max="9229" width="18.33203125" style="589" customWidth="1"/>
    <col min="9230" max="9466" width="9.109375" style="589"/>
    <col min="9467" max="9467" width="64" style="589" customWidth="1"/>
    <col min="9468" max="9483" width="15.44140625" style="589" customWidth="1"/>
    <col min="9484" max="9484" width="14.33203125" style="589" customWidth="1"/>
    <col min="9485" max="9485" width="18.33203125" style="589" customWidth="1"/>
    <col min="9486" max="9722" width="9.109375" style="589"/>
    <col min="9723" max="9723" width="64" style="589" customWidth="1"/>
    <col min="9724" max="9739" width="15.44140625" style="589" customWidth="1"/>
    <col min="9740" max="9740" width="14.33203125" style="589" customWidth="1"/>
    <col min="9741" max="9741" width="18.33203125" style="589" customWidth="1"/>
    <col min="9742" max="9978" width="9.109375" style="589"/>
    <col min="9979" max="9979" width="64" style="589" customWidth="1"/>
    <col min="9980" max="9995" width="15.44140625" style="589" customWidth="1"/>
    <col min="9996" max="9996" width="14.33203125" style="589" customWidth="1"/>
    <col min="9997" max="9997" width="18.33203125" style="589" customWidth="1"/>
    <col min="9998" max="10234" width="9.109375" style="589"/>
    <col min="10235" max="10235" width="64" style="589" customWidth="1"/>
    <col min="10236" max="10251" width="15.44140625" style="589" customWidth="1"/>
    <col min="10252" max="10252" width="14.33203125" style="589" customWidth="1"/>
    <col min="10253" max="10253" width="18.33203125" style="589" customWidth="1"/>
    <col min="10254" max="10490" width="9.109375" style="589"/>
    <col min="10491" max="10491" width="64" style="589" customWidth="1"/>
    <col min="10492" max="10507" width="15.44140625" style="589" customWidth="1"/>
    <col min="10508" max="10508" width="14.33203125" style="589" customWidth="1"/>
    <col min="10509" max="10509" width="18.33203125" style="589" customWidth="1"/>
    <col min="10510" max="10746" width="9.109375" style="589"/>
    <col min="10747" max="10747" width="64" style="589" customWidth="1"/>
    <col min="10748" max="10763" width="15.44140625" style="589" customWidth="1"/>
    <col min="10764" max="10764" width="14.33203125" style="589" customWidth="1"/>
    <col min="10765" max="10765" width="18.33203125" style="589" customWidth="1"/>
    <col min="10766" max="11002" width="9.109375" style="589"/>
    <col min="11003" max="11003" width="64" style="589" customWidth="1"/>
    <col min="11004" max="11019" width="15.44140625" style="589" customWidth="1"/>
    <col min="11020" max="11020" width="14.33203125" style="589" customWidth="1"/>
    <col min="11021" max="11021" width="18.33203125" style="589" customWidth="1"/>
    <col min="11022" max="11258" width="9.109375" style="589"/>
    <col min="11259" max="11259" width="64" style="589" customWidth="1"/>
    <col min="11260" max="11275" width="15.44140625" style="589" customWidth="1"/>
    <col min="11276" max="11276" width="14.33203125" style="589" customWidth="1"/>
    <col min="11277" max="11277" width="18.33203125" style="589" customWidth="1"/>
    <col min="11278" max="11514" width="9.109375" style="589"/>
    <col min="11515" max="11515" width="64" style="589" customWidth="1"/>
    <col min="11516" max="11531" width="15.44140625" style="589" customWidth="1"/>
    <col min="11532" max="11532" width="14.33203125" style="589" customWidth="1"/>
    <col min="11533" max="11533" width="18.33203125" style="589" customWidth="1"/>
    <col min="11534" max="11770" width="9.109375" style="589"/>
    <col min="11771" max="11771" width="64" style="589" customWidth="1"/>
    <col min="11772" max="11787" width="15.44140625" style="589" customWidth="1"/>
    <col min="11788" max="11788" width="14.33203125" style="589" customWidth="1"/>
    <col min="11789" max="11789" width="18.33203125" style="589" customWidth="1"/>
    <col min="11790" max="12026" width="9.109375" style="589"/>
    <col min="12027" max="12027" width="64" style="589" customWidth="1"/>
    <col min="12028" max="12043" width="15.44140625" style="589" customWidth="1"/>
    <col min="12044" max="12044" width="14.33203125" style="589" customWidth="1"/>
    <col min="12045" max="12045" width="18.33203125" style="589" customWidth="1"/>
    <col min="12046" max="12282" width="9.109375" style="589"/>
    <col min="12283" max="12283" width="64" style="589" customWidth="1"/>
    <col min="12284" max="12299" width="15.44140625" style="589" customWidth="1"/>
    <col min="12300" max="12300" width="14.33203125" style="589" customWidth="1"/>
    <col min="12301" max="12301" width="18.33203125" style="589" customWidth="1"/>
    <col min="12302" max="12538" width="9.109375" style="589"/>
    <col min="12539" max="12539" width="64" style="589" customWidth="1"/>
    <col min="12540" max="12555" width="15.44140625" style="589" customWidth="1"/>
    <col min="12556" max="12556" width="14.33203125" style="589" customWidth="1"/>
    <col min="12557" max="12557" width="18.33203125" style="589" customWidth="1"/>
    <col min="12558" max="12794" width="9.109375" style="589"/>
    <col min="12795" max="12795" width="64" style="589" customWidth="1"/>
    <col min="12796" max="12811" width="15.44140625" style="589" customWidth="1"/>
    <col min="12812" max="12812" width="14.33203125" style="589" customWidth="1"/>
    <col min="12813" max="12813" width="18.33203125" style="589" customWidth="1"/>
    <col min="12814" max="13050" width="9.109375" style="589"/>
    <col min="13051" max="13051" width="64" style="589" customWidth="1"/>
    <col min="13052" max="13067" width="15.44140625" style="589" customWidth="1"/>
    <col min="13068" max="13068" width="14.33203125" style="589" customWidth="1"/>
    <col min="13069" max="13069" width="18.33203125" style="589" customWidth="1"/>
    <col min="13070" max="13306" width="9.109375" style="589"/>
    <col min="13307" max="13307" width="64" style="589" customWidth="1"/>
    <col min="13308" max="13323" width="15.44140625" style="589" customWidth="1"/>
    <col min="13324" max="13324" width="14.33203125" style="589" customWidth="1"/>
    <col min="13325" max="13325" width="18.33203125" style="589" customWidth="1"/>
    <col min="13326" max="13562" width="9.109375" style="589"/>
    <col min="13563" max="13563" width="64" style="589" customWidth="1"/>
    <col min="13564" max="13579" width="15.44140625" style="589" customWidth="1"/>
    <col min="13580" max="13580" width="14.33203125" style="589" customWidth="1"/>
    <col min="13581" max="13581" width="18.33203125" style="589" customWidth="1"/>
    <col min="13582" max="13818" width="9.109375" style="589"/>
    <col min="13819" max="13819" width="64" style="589" customWidth="1"/>
    <col min="13820" max="13835" width="15.44140625" style="589" customWidth="1"/>
    <col min="13836" max="13836" width="14.33203125" style="589" customWidth="1"/>
    <col min="13837" max="13837" width="18.33203125" style="589" customWidth="1"/>
    <col min="13838" max="14074" width="9.109375" style="589"/>
    <col min="14075" max="14075" width="64" style="589" customWidth="1"/>
    <col min="14076" max="14091" width="15.44140625" style="589" customWidth="1"/>
    <col min="14092" max="14092" width="14.33203125" style="589" customWidth="1"/>
    <col min="14093" max="14093" width="18.33203125" style="589" customWidth="1"/>
    <col min="14094" max="14330" width="9.109375" style="589"/>
    <col min="14331" max="14331" width="64" style="589" customWidth="1"/>
    <col min="14332" max="14347" width="15.44140625" style="589" customWidth="1"/>
    <col min="14348" max="14348" width="14.33203125" style="589" customWidth="1"/>
    <col min="14349" max="14349" width="18.33203125" style="589" customWidth="1"/>
    <col min="14350" max="14586" width="9.109375" style="589"/>
    <col min="14587" max="14587" width="64" style="589" customWidth="1"/>
    <col min="14588" max="14603" width="15.44140625" style="589" customWidth="1"/>
    <col min="14604" max="14604" width="14.33203125" style="589" customWidth="1"/>
    <col min="14605" max="14605" width="18.33203125" style="589" customWidth="1"/>
    <col min="14606" max="14842" width="9.109375" style="589"/>
    <col min="14843" max="14843" width="64" style="589" customWidth="1"/>
    <col min="14844" max="14859" width="15.44140625" style="589" customWidth="1"/>
    <col min="14860" max="14860" width="14.33203125" style="589" customWidth="1"/>
    <col min="14861" max="14861" width="18.33203125" style="589" customWidth="1"/>
    <col min="14862" max="15098" width="9.109375" style="589"/>
    <col min="15099" max="15099" width="64" style="589" customWidth="1"/>
    <col min="15100" max="15115" width="15.44140625" style="589" customWidth="1"/>
    <col min="15116" max="15116" width="14.33203125" style="589" customWidth="1"/>
    <col min="15117" max="15117" width="18.33203125" style="589" customWidth="1"/>
    <col min="15118" max="15354" width="9.109375" style="589"/>
    <col min="15355" max="15355" width="64" style="589" customWidth="1"/>
    <col min="15356" max="15371" width="15.44140625" style="589" customWidth="1"/>
    <col min="15372" max="15372" width="14.33203125" style="589" customWidth="1"/>
    <col min="15373" max="15373" width="18.33203125" style="589" customWidth="1"/>
    <col min="15374" max="15610" width="9.109375" style="589"/>
    <col min="15611" max="15611" width="64" style="589" customWidth="1"/>
    <col min="15612" max="15627" width="15.44140625" style="589" customWidth="1"/>
    <col min="15628" max="15628" width="14.33203125" style="589" customWidth="1"/>
    <col min="15629" max="15629" width="18.33203125" style="589" customWidth="1"/>
    <col min="15630" max="15866" width="9.109375" style="589"/>
    <col min="15867" max="15867" width="64" style="589" customWidth="1"/>
    <col min="15868" max="15883" width="15.44140625" style="589" customWidth="1"/>
    <col min="15884" max="15884" width="14.33203125" style="589" customWidth="1"/>
    <col min="15885" max="15885" width="18.33203125" style="589" customWidth="1"/>
    <col min="15886" max="16122" width="9.109375" style="589"/>
    <col min="16123" max="16123" width="64" style="589" customWidth="1"/>
    <col min="16124" max="16139" width="15.44140625" style="589" customWidth="1"/>
    <col min="16140" max="16140" width="14.33203125" style="589" customWidth="1"/>
    <col min="16141" max="16141" width="18.33203125" style="589" customWidth="1"/>
    <col min="16142" max="16384" width="9.109375" style="589"/>
  </cols>
  <sheetData>
    <row r="1" spans="1:13" x14ac:dyDescent="0.25">
      <c r="A1" s="592"/>
    </row>
    <row r="2" spans="1:13" s="56" customFormat="1" x14ac:dyDescent="0.25">
      <c r="A2" s="535" t="s">
        <v>992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1:13" s="56" customFormat="1" ht="10.199999999999999" x14ac:dyDescent="0.2"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3" s="302" customFormat="1" ht="45" customHeight="1" x14ac:dyDescent="0.25">
      <c r="A4" s="92" t="s">
        <v>186</v>
      </c>
      <c r="B4" s="772" t="s">
        <v>187</v>
      </c>
      <c r="C4" s="773"/>
      <c r="D4" s="772" t="s">
        <v>188</v>
      </c>
      <c r="E4" s="773"/>
      <c r="F4" s="772" t="s">
        <v>189</v>
      </c>
      <c r="G4" s="773"/>
      <c r="H4" s="772" t="s">
        <v>612</v>
      </c>
      <c r="I4" s="785"/>
    </row>
    <row r="5" spans="1:13" s="56" customFormat="1" ht="10.199999999999999" x14ac:dyDescent="0.2">
      <c r="A5" s="73" t="s">
        <v>185</v>
      </c>
      <c r="B5" s="637">
        <v>42735</v>
      </c>
      <c r="C5" s="637">
        <v>42369</v>
      </c>
      <c r="D5" s="637">
        <v>42735</v>
      </c>
      <c r="E5" s="637">
        <v>42369</v>
      </c>
      <c r="F5" s="637">
        <v>42735</v>
      </c>
      <c r="G5" s="637">
        <v>42369</v>
      </c>
      <c r="H5" s="637">
        <v>42735</v>
      </c>
      <c r="I5" s="637">
        <v>42369</v>
      </c>
    </row>
    <row r="6" spans="1:13" s="56" customFormat="1" ht="10.199999999999999" x14ac:dyDescent="0.2">
      <c r="A6" s="494" t="s">
        <v>745</v>
      </c>
      <c r="B6" s="100">
        <v>1323097.0900000001</v>
      </c>
      <c r="C6" s="100">
        <v>1410627</v>
      </c>
      <c r="D6" s="100">
        <v>1231960.3600000001</v>
      </c>
      <c r="E6" s="100">
        <v>1191356</v>
      </c>
      <c r="F6" s="100">
        <v>167416.04</v>
      </c>
      <c r="G6" s="100">
        <v>111304</v>
      </c>
      <c r="H6" s="100">
        <v>368111.72</v>
      </c>
      <c r="I6" s="100">
        <v>136023</v>
      </c>
    </row>
    <row r="7" spans="1:13" s="56" customFormat="1" ht="10.199999999999999" x14ac:dyDescent="0.2">
      <c r="A7" s="590" t="s">
        <v>306</v>
      </c>
      <c r="B7" s="100">
        <f>B8+B9+B10+B11+B12</f>
        <v>7861254.5399999991</v>
      </c>
      <c r="C7" s="100">
        <f>SUM(C8:C11)</f>
        <v>3838465</v>
      </c>
      <c r="D7" s="100">
        <f>SUM(D8:D12)</f>
        <v>8829200.0399999991</v>
      </c>
      <c r="E7" s="100">
        <f t="shared" ref="E7:I7" si="0">SUM(E8:E12)</f>
        <v>4687345</v>
      </c>
      <c r="F7" s="100">
        <f t="shared" si="0"/>
        <v>1472993.76</v>
      </c>
      <c r="G7" s="100">
        <f t="shared" si="0"/>
        <v>766839</v>
      </c>
      <c r="H7" s="100">
        <f t="shared" si="0"/>
        <v>1298238.6299999999</v>
      </c>
      <c r="I7" s="100">
        <f t="shared" si="0"/>
        <v>754595</v>
      </c>
    </row>
    <row r="8" spans="1:13" s="56" customFormat="1" ht="10.199999999999999" x14ac:dyDescent="0.2">
      <c r="A8" s="494" t="s">
        <v>793</v>
      </c>
      <c r="B8" s="289">
        <v>50934.93</v>
      </c>
      <c r="C8" s="289">
        <v>71855</v>
      </c>
      <c r="D8" s="289">
        <v>1253446.27</v>
      </c>
      <c r="E8" s="289">
        <v>1405193</v>
      </c>
      <c r="F8" s="289">
        <v>22981.29</v>
      </c>
      <c r="G8" s="289">
        <v>308</v>
      </c>
      <c r="H8" s="289">
        <v>72625.350000000006</v>
      </c>
      <c r="I8" s="289">
        <v>68946</v>
      </c>
    </row>
    <row r="9" spans="1:13" s="56" customFormat="1" ht="10.199999999999999" x14ac:dyDescent="0.2">
      <c r="A9" s="494" t="s">
        <v>794</v>
      </c>
      <c r="B9" s="289">
        <v>1967292.78</v>
      </c>
      <c r="C9" s="289">
        <v>1306862</v>
      </c>
      <c r="D9" s="289">
        <v>5551604.0199999996</v>
      </c>
      <c r="E9" s="289">
        <v>2669264</v>
      </c>
      <c r="F9" s="289">
        <v>506638.82</v>
      </c>
      <c r="G9" s="289">
        <v>251626</v>
      </c>
      <c r="H9" s="289">
        <v>855948.12</v>
      </c>
      <c r="I9" s="289">
        <v>476649</v>
      </c>
    </row>
    <row r="10" spans="1:13" s="56" customFormat="1" ht="10.199999999999999" x14ac:dyDescent="0.2">
      <c r="A10" s="494" t="s">
        <v>758</v>
      </c>
      <c r="B10" s="289">
        <v>497793.81</v>
      </c>
      <c r="C10" s="289">
        <v>317450</v>
      </c>
      <c r="D10" s="289">
        <v>47390.57</v>
      </c>
      <c r="E10" s="289">
        <v>42366</v>
      </c>
      <c r="F10" s="289">
        <v>71721.3</v>
      </c>
      <c r="G10" s="289">
        <v>72157</v>
      </c>
      <c r="H10" s="289">
        <v>44845.42</v>
      </c>
      <c r="I10" s="289">
        <v>27511</v>
      </c>
    </row>
    <row r="11" spans="1:13" s="56" customFormat="1" ht="10.199999999999999" x14ac:dyDescent="0.2">
      <c r="A11" s="494" t="s">
        <v>795</v>
      </c>
      <c r="B11" s="289">
        <v>5345233.0199999996</v>
      </c>
      <c r="C11" s="289">
        <v>2142298</v>
      </c>
      <c r="D11" s="289">
        <v>1976759.18</v>
      </c>
      <c r="E11" s="289">
        <v>570522</v>
      </c>
      <c r="F11" s="289">
        <v>871652.35</v>
      </c>
      <c r="G11" s="289">
        <v>442748</v>
      </c>
      <c r="H11" s="289">
        <v>324819.74</v>
      </c>
      <c r="I11" s="289">
        <v>181489</v>
      </c>
    </row>
    <row r="12" spans="1:13" s="56" customFormat="1" ht="10.199999999999999" x14ac:dyDescent="0.2">
      <c r="A12" s="494" t="s">
        <v>870</v>
      </c>
      <c r="B12" s="289">
        <v>0</v>
      </c>
      <c r="C12" s="289">
        <v>0</v>
      </c>
      <c r="D12" s="289">
        <v>0</v>
      </c>
      <c r="E12" s="289">
        <v>0</v>
      </c>
      <c r="F12" s="289">
        <v>0</v>
      </c>
      <c r="G12" s="289">
        <v>0</v>
      </c>
      <c r="H12" s="289">
        <v>0</v>
      </c>
      <c r="I12" s="289">
        <v>0</v>
      </c>
    </row>
    <row r="13" spans="1:13" s="56" customFormat="1" ht="10.199999999999999" x14ac:dyDescent="0.2">
      <c r="A13" s="146" t="s">
        <v>931</v>
      </c>
      <c r="B13" s="100">
        <v>0</v>
      </c>
      <c r="C13" s="100">
        <f t="shared" ref="C13:I13" si="1">C14</f>
        <v>0</v>
      </c>
      <c r="D13" s="100">
        <v>0</v>
      </c>
      <c r="E13" s="100">
        <f t="shared" si="1"/>
        <v>150</v>
      </c>
      <c r="F13" s="100">
        <v>0</v>
      </c>
      <c r="G13" s="100">
        <f t="shared" si="1"/>
        <v>0</v>
      </c>
      <c r="H13" s="100">
        <v>0</v>
      </c>
      <c r="I13" s="100">
        <f t="shared" si="1"/>
        <v>0</v>
      </c>
    </row>
    <row r="14" spans="1:13" s="56" customFormat="1" ht="10.199999999999999" x14ac:dyDescent="0.2">
      <c r="A14" s="494" t="s">
        <v>820</v>
      </c>
      <c r="B14" s="289" t="s">
        <v>872</v>
      </c>
      <c r="C14" s="289">
        <v>0</v>
      </c>
      <c r="D14" s="289" t="s">
        <v>872</v>
      </c>
      <c r="E14" s="289">
        <v>150</v>
      </c>
      <c r="F14" s="289" t="s">
        <v>872</v>
      </c>
      <c r="G14" s="289">
        <v>0</v>
      </c>
      <c r="H14" s="289" t="s">
        <v>872</v>
      </c>
      <c r="I14" s="289">
        <v>0</v>
      </c>
    </row>
    <row r="15" spans="1:13" s="66" customFormat="1" ht="10.199999999999999" x14ac:dyDescent="0.2">
      <c r="A15" s="590" t="s">
        <v>847</v>
      </c>
      <c r="B15" s="100">
        <f>SUM(B16:B25)</f>
        <v>923584.8899999999</v>
      </c>
      <c r="C15" s="100">
        <f>SUM(C16:C25)</f>
        <v>648174</v>
      </c>
      <c r="D15" s="100">
        <f>SUM(D16:D25)</f>
        <v>46776.119999999995</v>
      </c>
      <c r="E15" s="100">
        <f t="shared" ref="E15:I15" si="2">SUM(E16:E25)</f>
        <v>18415</v>
      </c>
      <c r="F15" s="100">
        <f t="shared" si="2"/>
        <v>48282.630000000005</v>
      </c>
      <c r="G15" s="100">
        <f t="shared" si="2"/>
        <v>21507</v>
      </c>
      <c r="H15" s="100">
        <f t="shared" si="2"/>
        <v>22342.080000000002</v>
      </c>
      <c r="I15" s="100">
        <f t="shared" si="2"/>
        <v>9032</v>
      </c>
    </row>
    <row r="16" spans="1:13" s="56" customFormat="1" ht="10.199999999999999" x14ac:dyDescent="0.2">
      <c r="A16" s="494" t="s">
        <v>796</v>
      </c>
      <c r="B16" s="289">
        <v>5136</v>
      </c>
      <c r="C16" s="289">
        <v>14980</v>
      </c>
      <c r="D16" s="289">
        <v>4860</v>
      </c>
      <c r="E16" s="289">
        <v>6613</v>
      </c>
      <c r="F16" s="289">
        <v>339.48</v>
      </c>
      <c r="G16" s="289">
        <v>7970</v>
      </c>
      <c r="H16" s="289">
        <v>0</v>
      </c>
      <c r="I16" s="289">
        <v>8625</v>
      </c>
    </row>
    <row r="17" spans="1:13" s="56" customFormat="1" ht="10.199999999999999" x14ac:dyDescent="0.2">
      <c r="A17" s="494" t="s">
        <v>932</v>
      </c>
      <c r="B17" s="289" t="s">
        <v>872</v>
      </c>
      <c r="C17" s="289">
        <v>126626</v>
      </c>
      <c r="D17" s="289" t="s">
        <v>872</v>
      </c>
      <c r="E17" s="289">
        <v>4112</v>
      </c>
      <c r="F17" s="289" t="s">
        <v>872</v>
      </c>
      <c r="G17" s="289">
        <v>832</v>
      </c>
      <c r="H17" s="289" t="s">
        <v>872</v>
      </c>
      <c r="I17" s="289">
        <v>104</v>
      </c>
    </row>
    <row r="18" spans="1:13" x14ac:dyDescent="0.25">
      <c r="A18" s="494" t="s">
        <v>933</v>
      </c>
      <c r="B18" s="608">
        <v>17317.5</v>
      </c>
      <c r="C18" s="588" t="s">
        <v>872</v>
      </c>
      <c r="D18" s="608">
        <v>4200</v>
      </c>
      <c r="E18" s="588" t="s">
        <v>872</v>
      </c>
      <c r="F18" s="608">
        <v>369</v>
      </c>
      <c r="G18" s="588" t="s">
        <v>872</v>
      </c>
      <c r="H18" s="608">
        <v>0</v>
      </c>
      <c r="I18" s="588" t="s">
        <v>872</v>
      </c>
    </row>
    <row r="19" spans="1:13" s="56" customFormat="1" ht="10.199999999999999" x14ac:dyDescent="0.2">
      <c r="A19" s="494" t="s">
        <v>934</v>
      </c>
      <c r="B19" s="289">
        <v>5047</v>
      </c>
      <c r="C19" s="289" t="s">
        <v>872</v>
      </c>
      <c r="D19" s="289">
        <v>3684</v>
      </c>
      <c r="E19" s="289" t="s">
        <v>872</v>
      </c>
      <c r="F19" s="289">
        <v>6208</v>
      </c>
      <c r="G19" s="289" t="s">
        <v>872</v>
      </c>
      <c r="H19" s="289">
        <v>378</v>
      </c>
      <c r="I19" s="289" t="s">
        <v>872</v>
      </c>
    </row>
    <row r="20" spans="1:13" s="56" customFormat="1" ht="10.199999999999999" x14ac:dyDescent="0.2">
      <c r="A20" s="494" t="s">
        <v>935</v>
      </c>
      <c r="B20" s="289">
        <v>2500</v>
      </c>
      <c r="C20" s="289" t="s">
        <v>872</v>
      </c>
      <c r="D20" s="289">
        <v>2500</v>
      </c>
      <c r="E20" s="289" t="s">
        <v>872</v>
      </c>
      <c r="F20" s="289">
        <v>0</v>
      </c>
      <c r="G20" s="289" t="s">
        <v>872</v>
      </c>
      <c r="H20" s="289">
        <v>0</v>
      </c>
      <c r="I20" s="289" t="s">
        <v>872</v>
      </c>
    </row>
    <row r="21" spans="1:13" s="56" customFormat="1" ht="10.199999999999999" x14ac:dyDescent="0.2">
      <c r="A21" s="494" t="s">
        <v>797</v>
      </c>
      <c r="B21" s="289">
        <v>137174.99</v>
      </c>
      <c r="C21" s="289">
        <v>66000</v>
      </c>
      <c r="D21" s="289">
        <v>2912.62</v>
      </c>
      <c r="E21" s="289">
        <v>1340</v>
      </c>
      <c r="F21" s="289">
        <v>18450</v>
      </c>
      <c r="G21" s="289">
        <v>0</v>
      </c>
      <c r="H21" s="289">
        <v>0</v>
      </c>
      <c r="I21" s="289">
        <v>0</v>
      </c>
    </row>
    <row r="22" spans="1:13" s="56" customFormat="1" ht="10.199999999999999" x14ac:dyDescent="0.2">
      <c r="A22" s="494" t="s">
        <v>798</v>
      </c>
      <c r="B22" s="289">
        <v>124915</v>
      </c>
      <c r="C22" s="289">
        <v>148000</v>
      </c>
      <c r="D22" s="289">
        <v>0</v>
      </c>
      <c r="E22" s="289">
        <v>0</v>
      </c>
      <c r="F22" s="289">
        <v>2000</v>
      </c>
      <c r="G22" s="289">
        <v>0</v>
      </c>
      <c r="H22" s="289">
        <v>0</v>
      </c>
      <c r="I22" s="289">
        <v>0</v>
      </c>
    </row>
    <row r="23" spans="1:13" s="56" customFormat="1" ht="10.199999999999999" x14ac:dyDescent="0.2">
      <c r="A23" s="591" t="s">
        <v>842</v>
      </c>
      <c r="B23" s="289">
        <v>249296.24</v>
      </c>
      <c r="C23" s="289">
        <v>192226</v>
      </c>
      <c r="D23" s="289">
        <v>0</v>
      </c>
      <c r="E23" s="289">
        <v>239</v>
      </c>
      <c r="F23" s="289">
        <v>0</v>
      </c>
      <c r="G23" s="289">
        <v>0</v>
      </c>
      <c r="H23" s="289">
        <v>9300</v>
      </c>
      <c r="I23" s="289">
        <v>0</v>
      </c>
    </row>
    <row r="24" spans="1:13" s="56" customFormat="1" ht="10.199999999999999" x14ac:dyDescent="0.2">
      <c r="A24" s="591" t="s">
        <v>936</v>
      </c>
      <c r="B24" s="289">
        <v>277827.59999999998</v>
      </c>
      <c r="C24" s="289" t="s">
        <v>872</v>
      </c>
      <c r="D24" s="289">
        <v>0</v>
      </c>
      <c r="E24" s="289" t="s">
        <v>872</v>
      </c>
      <c r="F24" s="289">
        <v>0</v>
      </c>
      <c r="G24" s="289" t="s">
        <v>872</v>
      </c>
      <c r="H24" s="289">
        <v>0</v>
      </c>
      <c r="I24" s="289" t="s">
        <v>872</v>
      </c>
    </row>
    <row r="25" spans="1:13" s="56" customFormat="1" ht="10.199999999999999" x14ac:dyDescent="0.2">
      <c r="A25" s="494" t="s">
        <v>873</v>
      </c>
      <c r="B25" s="289">
        <v>104370.56</v>
      </c>
      <c r="C25" s="289">
        <v>100342</v>
      </c>
      <c r="D25" s="289">
        <v>28619.5</v>
      </c>
      <c r="E25" s="289">
        <v>6111</v>
      </c>
      <c r="F25" s="289">
        <v>20916.150000000001</v>
      </c>
      <c r="G25" s="289">
        <v>12705</v>
      </c>
      <c r="H25" s="289">
        <v>12664.08</v>
      </c>
      <c r="I25" s="289">
        <v>303</v>
      </c>
    </row>
    <row r="26" spans="1:13" s="56" customFormat="1" ht="10.199999999999999" x14ac:dyDescent="0.2">
      <c r="B26" s="475">
        <f>B6+B7+B15+B13</f>
        <v>10107936.52</v>
      </c>
      <c r="C26" s="475">
        <f t="shared" ref="C26:I26" si="3">C6+C7+C15+C13</f>
        <v>5897266</v>
      </c>
      <c r="D26" s="475">
        <f t="shared" si="3"/>
        <v>10107936.519999998</v>
      </c>
      <c r="E26" s="475">
        <f t="shared" si="3"/>
        <v>5897266</v>
      </c>
      <c r="F26" s="475">
        <f t="shared" si="3"/>
        <v>1688692.4300000002</v>
      </c>
      <c r="G26" s="475">
        <f t="shared" si="3"/>
        <v>899650</v>
      </c>
      <c r="H26" s="475">
        <f t="shared" si="3"/>
        <v>1688692.43</v>
      </c>
      <c r="I26" s="475">
        <f t="shared" si="3"/>
        <v>899650</v>
      </c>
    </row>
    <row r="27" spans="1:13" s="56" customFormat="1" ht="10.199999999999999" x14ac:dyDescent="0.2"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</row>
  </sheetData>
  <mergeCells count="4">
    <mergeCell ref="F4:G4"/>
    <mergeCell ref="D4:E4"/>
    <mergeCell ref="B4:C4"/>
    <mergeCell ref="H4:I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E84"/>
  <sheetViews>
    <sheetView showGridLines="0" view="pageBreakPreview" zoomScaleNormal="100" zoomScaleSheetLayoutView="100" workbookViewId="0">
      <selection activeCell="K49" sqref="K49"/>
    </sheetView>
  </sheetViews>
  <sheetFormatPr defaultColWidth="9.109375" defaultRowHeight="10.199999999999999" x14ac:dyDescent="0.2"/>
  <cols>
    <col min="1" max="1" width="41.5546875" style="256" customWidth="1"/>
    <col min="2" max="2" width="16" style="256" customWidth="1"/>
    <col min="3" max="5" width="15.109375" style="256" customWidth="1"/>
    <col min="6" max="16384" width="9.109375" style="256"/>
  </cols>
  <sheetData>
    <row r="1" spans="1:5" s="244" customFormat="1" x14ac:dyDescent="0.2">
      <c r="A1" s="307"/>
      <c r="B1" s="307"/>
    </row>
    <row r="2" spans="1:5" s="303" customFormat="1" ht="11.25" customHeight="1" x14ac:dyDescent="0.25">
      <c r="A2" s="535" t="s">
        <v>993</v>
      </c>
      <c r="B2" s="535"/>
      <c r="C2" s="256"/>
      <c r="D2" s="256"/>
      <c r="E2" s="256"/>
    </row>
    <row r="3" spans="1:5" s="303" customFormat="1" x14ac:dyDescent="0.2">
      <c r="A3" s="259"/>
      <c r="B3" s="255"/>
      <c r="C3" s="256"/>
      <c r="D3" s="256"/>
      <c r="E3" s="256"/>
    </row>
    <row r="4" spans="1:5" s="1" customFormat="1" x14ac:dyDescent="0.2">
      <c r="A4" s="162" t="s">
        <v>23</v>
      </c>
      <c r="B4" s="162"/>
      <c r="C4" s="308"/>
      <c r="D4" s="308"/>
      <c r="E4" s="308"/>
    </row>
    <row r="5" spans="1:5" s="1" customFormat="1" ht="20.399999999999999" x14ac:dyDescent="0.2">
      <c r="A5" s="752"/>
      <c r="B5" s="753"/>
      <c r="C5" s="143" t="str">
        <f>'Dane podstawowe'!$B$7</f>
        <v>01.01.2016-31.12.2016</v>
      </c>
      <c r="D5" s="143" t="str">
        <f>'Dane podstawowe'!$B$12</f>
        <v>01.01.2015-31.12.2015</v>
      </c>
    </row>
    <row r="6" spans="1:5" s="304" customFormat="1" x14ac:dyDescent="0.2">
      <c r="A6" s="788" t="s">
        <v>9</v>
      </c>
      <c r="B6" s="789"/>
      <c r="C6" s="301">
        <f>698236+68208</f>
        <v>766444</v>
      </c>
      <c r="D6" s="301">
        <v>980116</v>
      </c>
    </row>
    <row r="7" spans="1:5" s="304" customFormat="1" x14ac:dyDescent="0.2">
      <c r="A7" s="638" t="s">
        <v>867</v>
      </c>
      <c r="B7" s="620"/>
      <c r="C7" s="301">
        <f>452036</f>
        <v>452036</v>
      </c>
      <c r="D7" s="301">
        <v>421226</v>
      </c>
    </row>
    <row r="8" spans="1:5" s="304" customFormat="1" x14ac:dyDescent="0.2">
      <c r="A8" s="638" t="s">
        <v>937</v>
      </c>
      <c r="B8" s="716"/>
      <c r="C8" s="301">
        <v>160040</v>
      </c>
      <c r="D8" s="301">
        <v>0</v>
      </c>
    </row>
    <row r="9" spans="1:5" s="1" customFormat="1" x14ac:dyDescent="0.2">
      <c r="A9" s="790" t="s">
        <v>10</v>
      </c>
      <c r="B9" s="791"/>
      <c r="C9" s="193"/>
      <c r="D9" s="193"/>
    </row>
    <row r="10" spans="1:5" s="304" customFormat="1" x14ac:dyDescent="0.2">
      <c r="A10" s="786" t="s">
        <v>11</v>
      </c>
      <c r="B10" s="787"/>
      <c r="C10" s="301"/>
      <c r="D10" s="301"/>
    </row>
    <row r="11" spans="1:5" s="1" customFormat="1" x14ac:dyDescent="0.2">
      <c r="A11" s="790" t="s">
        <v>12</v>
      </c>
      <c r="B11" s="791"/>
      <c r="C11" s="193"/>
      <c r="D11" s="193"/>
    </row>
    <row r="12" spans="1:5" s="304" customFormat="1" x14ac:dyDescent="0.2">
      <c r="A12" s="786" t="s">
        <v>13</v>
      </c>
      <c r="B12" s="787"/>
      <c r="C12" s="301"/>
      <c r="D12" s="301"/>
    </row>
    <row r="13" spans="1:5" s="304" customFormat="1" x14ac:dyDescent="0.2">
      <c r="A13" s="794" t="s">
        <v>665</v>
      </c>
      <c r="B13" s="795"/>
      <c r="C13" s="301"/>
      <c r="D13" s="301"/>
    </row>
    <row r="14" spans="1:5" s="303" customFormat="1" x14ac:dyDescent="0.2">
      <c r="A14" s="792" t="s">
        <v>24</v>
      </c>
      <c r="B14" s="793"/>
      <c r="C14" s="99">
        <f>SUM(C6:C13)</f>
        <v>1378520</v>
      </c>
      <c r="D14" s="99">
        <f>SUM(D6:D13)</f>
        <v>1401342</v>
      </c>
    </row>
    <row r="15" spans="1:5" s="303" customFormat="1" x14ac:dyDescent="0.2">
      <c r="A15" s="122"/>
      <c r="B15" s="122"/>
      <c r="C15" s="306"/>
      <c r="D15" s="306"/>
      <c r="E15" s="306"/>
    </row>
    <row r="16" spans="1:5" s="1" customFormat="1" x14ac:dyDescent="0.2">
      <c r="A16" s="162"/>
      <c r="B16" s="162"/>
      <c r="C16" s="308"/>
      <c r="D16" s="308"/>
      <c r="E16" s="308"/>
    </row>
    <row r="17" spans="1:5" s="1" customFormat="1" x14ac:dyDescent="0.2">
      <c r="A17" s="192" t="s">
        <v>136</v>
      </c>
      <c r="B17" s="192"/>
      <c r="C17" s="308"/>
      <c r="D17" s="308"/>
      <c r="E17" s="308"/>
    </row>
    <row r="18" spans="1:5" s="1" customFormat="1" ht="20.399999999999999" x14ac:dyDescent="0.2">
      <c r="A18" s="752"/>
      <c r="B18" s="753"/>
      <c r="C18" s="143" t="str">
        <f>'Dane podstawowe'!$B$7</f>
        <v>01.01.2016-31.12.2016</v>
      </c>
      <c r="D18" s="143" t="str">
        <f>'Dane podstawowe'!$B$12</f>
        <v>01.01.2015-31.12.2015</v>
      </c>
    </row>
    <row r="19" spans="1:5" s="304" customFormat="1" x14ac:dyDescent="0.2">
      <c r="A19" s="788" t="s">
        <v>9</v>
      </c>
      <c r="B19" s="789"/>
      <c r="C19" s="301">
        <f>316389+266367.02</f>
        <v>582756.02</v>
      </c>
      <c r="D19" s="301">
        <v>532961</v>
      </c>
    </row>
    <row r="20" spans="1:5" s="304" customFormat="1" x14ac:dyDescent="0.2">
      <c r="A20" s="638" t="s">
        <v>867</v>
      </c>
      <c r="B20" s="716"/>
      <c r="C20" s="301">
        <f>120757.56+87513.08+232557.62+144857.4+76714.73+106739.46+273850+195802.09</f>
        <v>1238791.94</v>
      </c>
      <c r="D20" s="301"/>
    </row>
    <row r="21" spans="1:5" s="1" customFormat="1" x14ac:dyDescent="0.2">
      <c r="A21" s="790" t="s">
        <v>10</v>
      </c>
      <c r="B21" s="791"/>
      <c r="C21" s="193"/>
      <c r="D21" s="193"/>
    </row>
    <row r="22" spans="1:5" s="304" customFormat="1" x14ac:dyDescent="0.2">
      <c r="A22" s="786" t="s">
        <v>11</v>
      </c>
      <c r="B22" s="787"/>
      <c r="C22" s="301"/>
      <c r="D22" s="301"/>
    </row>
    <row r="23" spans="1:5" s="1" customFormat="1" x14ac:dyDescent="0.2">
      <c r="A23" s="790" t="s">
        <v>12</v>
      </c>
      <c r="B23" s="791"/>
      <c r="C23" s="193"/>
      <c r="D23" s="193"/>
    </row>
    <row r="24" spans="1:5" s="304" customFormat="1" x14ac:dyDescent="0.2">
      <c r="A24" s="786" t="s">
        <v>13</v>
      </c>
      <c r="B24" s="787"/>
      <c r="C24" s="301"/>
      <c r="D24" s="301"/>
    </row>
    <row r="25" spans="1:5" s="303" customFormat="1" x14ac:dyDescent="0.2">
      <c r="A25" s="792" t="s">
        <v>24</v>
      </c>
      <c r="B25" s="793"/>
      <c r="C25" s="99">
        <f>SUM(C19:C24)</f>
        <v>1821547.96</v>
      </c>
      <c r="D25" s="99">
        <f>SUM(D19:D24)</f>
        <v>532961</v>
      </c>
    </row>
    <row r="26" spans="1:5" s="303" customFormat="1" x14ac:dyDescent="0.2">
      <c r="A26" s="122"/>
      <c r="B26" s="122"/>
      <c r="C26" s="306"/>
      <c r="D26" s="306"/>
    </row>
    <row r="27" spans="1:5" s="303" customFormat="1" x14ac:dyDescent="0.2">
      <c r="A27" s="122"/>
      <c r="B27" s="122"/>
      <c r="C27" s="306"/>
      <c r="D27" s="306"/>
    </row>
    <row r="28" spans="1:5" s="303" customFormat="1" x14ac:dyDescent="0.2">
      <c r="A28" s="162" t="s">
        <v>899</v>
      </c>
      <c r="B28" s="162"/>
      <c r="C28" s="308"/>
      <c r="D28" s="308"/>
    </row>
    <row r="29" spans="1:5" s="303" customFormat="1" ht="20.399999999999999" x14ac:dyDescent="0.2">
      <c r="A29" s="752"/>
      <c r="B29" s="753"/>
      <c r="C29" s="143" t="str">
        <f>'Dane podstawowe'!$B$7</f>
        <v>01.01.2016-31.12.2016</v>
      </c>
      <c r="D29" s="143" t="str">
        <f>'Dane podstawowe'!$B$12</f>
        <v>01.01.2015-31.12.2015</v>
      </c>
    </row>
    <row r="30" spans="1:5" s="303" customFormat="1" x14ac:dyDescent="0.2">
      <c r="A30" s="788" t="s">
        <v>9</v>
      </c>
      <c r="B30" s="789"/>
      <c r="C30" s="301">
        <v>224458.01</v>
      </c>
      <c r="D30" s="301">
        <v>54685</v>
      </c>
    </row>
    <row r="31" spans="1:5" s="303" customFormat="1" x14ac:dyDescent="0.2">
      <c r="A31" s="638" t="s">
        <v>867</v>
      </c>
      <c r="B31" s="675"/>
      <c r="C31" s="301"/>
      <c r="D31" s="301"/>
    </row>
    <row r="32" spans="1:5" s="303" customFormat="1" x14ac:dyDescent="0.2">
      <c r="A32" s="790" t="s">
        <v>10</v>
      </c>
      <c r="B32" s="791"/>
      <c r="C32" s="193"/>
      <c r="D32" s="193"/>
    </row>
    <row r="33" spans="1:5" s="303" customFormat="1" x14ac:dyDescent="0.2">
      <c r="A33" s="786" t="s">
        <v>11</v>
      </c>
      <c r="B33" s="787"/>
      <c r="C33" s="301"/>
      <c r="D33" s="301"/>
    </row>
    <row r="34" spans="1:5" s="303" customFormat="1" x14ac:dyDescent="0.2">
      <c r="A34" s="790" t="s">
        <v>12</v>
      </c>
      <c r="B34" s="791"/>
      <c r="C34" s="193"/>
      <c r="D34" s="193"/>
    </row>
    <row r="35" spans="1:5" s="303" customFormat="1" x14ac:dyDescent="0.2">
      <c r="A35" s="786" t="s">
        <v>13</v>
      </c>
      <c r="B35" s="787"/>
      <c r="C35" s="301"/>
      <c r="D35" s="301"/>
    </row>
    <row r="36" spans="1:5" s="303" customFormat="1" x14ac:dyDescent="0.2">
      <c r="A36" s="794" t="s">
        <v>665</v>
      </c>
      <c r="B36" s="795"/>
      <c r="C36" s="301"/>
      <c r="D36" s="301"/>
    </row>
    <row r="37" spans="1:5" s="303" customFormat="1" x14ac:dyDescent="0.2">
      <c r="A37" s="792" t="s">
        <v>24</v>
      </c>
      <c r="B37" s="793"/>
      <c r="C37" s="99">
        <f>SUM(C30:C36)</f>
        <v>224458.01</v>
      </c>
      <c r="D37" s="99">
        <f>SUM(D30:D36)</f>
        <v>54685</v>
      </c>
    </row>
    <row r="38" spans="1:5" s="303" customFormat="1" x14ac:dyDescent="0.2">
      <c r="A38" s="122"/>
      <c r="B38" s="122"/>
      <c r="C38" s="306"/>
      <c r="D38" s="306"/>
    </row>
    <row r="39" spans="1:5" s="303" customFormat="1" x14ac:dyDescent="0.2">
      <c r="A39" s="122"/>
      <c r="B39" s="122"/>
      <c r="C39" s="306"/>
      <c r="D39" s="306"/>
    </row>
    <row r="40" spans="1:5" s="303" customFormat="1" x14ac:dyDescent="0.2">
      <c r="A40" s="141"/>
      <c r="B40" s="141"/>
      <c r="C40" s="256"/>
      <c r="D40" s="256"/>
      <c r="E40" s="256"/>
    </row>
    <row r="41" spans="1:5" s="303" customFormat="1" x14ac:dyDescent="0.2">
      <c r="A41" s="5"/>
      <c r="B41" s="5"/>
      <c r="C41" s="4"/>
      <c r="D41" s="4"/>
    </row>
    <row r="42" spans="1:5" s="303" customFormat="1" x14ac:dyDescent="0.2">
      <c r="A42" s="5"/>
      <c r="B42" s="5"/>
      <c r="C42" s="4"/>
      <c r="D42" s="4"/>
    </row>
    <row r="43" spans="1:5" s="303" customFormat="1" x14ac:dyDescent="0.2">
      <c r="A43" s="5"/>
      <c r="B43" s="5"/>
      <c r="C43" s="4"/>
      <c r="D43" s="4"/>
    </row>
    <row r="44" spans="1:5" s="303" customFormat="1" x14ac:dyDescent="0.2">
      <c r="A44" s="5"/>
      <c r="B44" s="5"/>
      <c r="C44" s="4"/>
      <c r="D44" s="4"/>
    </row>
    <row r="45" spans="1:5" s="303" customFormat="1" x14ac:dyDescent="0.2">
      <c r="A45" s="5"/>
      <c r="B45" s="5"/>
      <c r="C45" s="4"/>
      <c r="D45" s="4"/>
    </row>
    <row r="46" spans="1:5" s="303" customFormat="1" x14ac:dyDescent="0.2">
      <c r="A46" s="5"/>
      <c r="B46" s="5"/>
      <c r="C46" s="4"/>
      <c r="D46" s="4"/>
    </row>
    <row r="47" spans="1:5" s="303" customFormat="1" x14ac:dyDescent="0.2">
      <c r="A47" s="5"/>
      <c r="B47" s="5"/>
      <c r="C47" s="4"/>
      <c r="D47" s="4"/>
    </row>
    <row r="48" spans="1:5" s="303" customFormat="1" x14ac:dyDescent="0.2">
      <c r="A48" s="5"/>
      <c r="B48" s="5"/>
      <c r="C48" s="4"/>
      <c r="D48" s="4"/>
    </row>
    <row r="49" spans="1:4" s="303" customFormat="1" x14ac:dyDescent="0.2">
      <c r="A49" s="5"/>
      <c r="B49" s="5"/>
      <c r="C49" s="4"/>
      <c r="D49" s="4"/>
    </row>
    <row r="50" spans="1:4" s="303" customFormat="1" x14ac:dyDescent="0.2">
      <c r="A50" s="5"/>
      <c r="B50" s="5"/>
      <c r="C50" s="4"/>
      <c r="D50" s="4"/>
    </row>
    <row r="51" spans="1:4" s="303" customFormat="1" x14ac:dyDescent="0.2">
      <c r="A51" s="5"/>
      <c r="B51" s="5"/>
      <c r="C51" s="4"/>
      <c r="D51" s="4"/>
    </row>
    <row r="52" spans="1:4" s="303" customFormat="1" x14ac:dyDescent="0.2">
      <c r="A52" s="5"/>
      <c r="B52" s="5"/>
      <c r="C52" s="4"/>
      <c r="D52" s="4"/>
    </row>
    <row r="53" spans="1:4" s="303" customFormat="1" x14ac:dyDescent="0.2">
      <c r="A53" s="5"/>
      <c r="B53" s="5"/>
      <c r="C53" s="4"/>
      <c r="D53" s="4"/>
    </row>
    <row r="54" spans="1:4" s="303" customFormat="1" x14ac:dyDescent="0.2">
      <c r="A54" s="5"/>
      <c r="B54" s="5"/>
      <c r="C54" s="4"/>
      <c r="D54" s="4"/>
    </row>
    <row r="55" spans="1:4" s="303" customFormat="1" x14ac:dyDescent="0.2">
      <c r="A55" s="5"/>
      <c r="B55" s="5"/>
      <c r="C55" s="4"/>
      <c r="D55" s="4"/>
    </row>
    <row r="56" spans="1:4" s="303" customFormat="1" x14ac:dyDescent="0.2">
      <c r="A56" s="5"/>
      <c r="B56" s="5"/>
      <c r="C56" s="4"/>
      <c r="D56" s="4"/>
    </row>
    <row r="57" spans="1:4" s="303" customFormat="1" x14ac:dyDescent="0.2">
      <c r="A57" s="5"/>
      <c r="B57" s="5"/>
      <c r="C57" s="4"/>
      <c r="D57" s="4"/>
    </row>
    <row r="58" spans="1:4" s="303" customFormat="1" x14ac:dyDescent="0.2">
      <c r="A58" s="5"/>
      <c r="B58" s="5"/>
      <c r="C58" s="4"/>
      <c r="D58" s="4"/>
    </row>
    <row r="59" spans="1:4" s="303" customFormat="1" x14ac:dyDescent="0.2">
      <c r="A59" s="5"/>
      <c r="B59" s="5"/>
      <c r="C59" s="4"/>
      <c r="D59" s="4"/>
    </row>
    <row r="60" spans="1:4" s="303" customFormat="1" x14ac:dyDescent="0.2">
      <c r="A60" s="5"/>
      <c r="B60" s="5"/>
      <c r="C60" s="4"/>
      <c r="D60" s="4"/>
    </row>
    <row r="61" spans="1:4" s="303" customFormat="1" x14ac:dyDescent="0.2">
      <c r="A61" s="5"/>
      <c r="B61" s="5"/>
      <c r="C61" s="4"/>
      <c r="D61" s="4"/>
    </row>
    <row r="62" spans="1:4" s="303" customFormat="1" x14ac:dyDescent="0.2">
      <c r="A62" s="5"/>
      <c r="B62" s="5"/>
      <c r="C62" s="4"/>
      <c r="D62" s="4"/>
    </row>
    <row r="63" spans="1:4" s="303" customFormat="1" x14ac:dyDescent="0.2">
      <c r="A63" s="5"/>
      <c r="B63" s="5"/>
      <c r="C63" s="4"/>
      <c r="D63" s="4"/>
    </row>
    <row r="64" spans="1:4" s="303" customFormat="1" x14ac:dyDescent="0.2">
      <c r="A64" s="5"/>
      <c r="B64" s="5"/>
      <c r="C64" s="4"/>
      <c r="D64" s="4"/>
    </row>
    <row r="65" spans="1:4" s="303" customFormat="1" x14ac:dyDescent="0.2">
      <c r="A65" s="5"/>
      <c r="B65" s="5"/>
      <c r="C65" s="4"/>
      <c r="D65" s="4"/>
    </row>
    <row r="66" spans="1:4" s="303" customFormat="1" x14ac:dyDescent="0.2">
      <c r="A66" s="5"/>
      <c r="B66" s="5"/>
      <c r="C66" s="4"/>
      <c r="D66" s="4"/>
    </row>
    <row r="67" spans="1:4" s="303" customFormat="1" x14ac:dyDescent="0.2">
      <c r="A67" s="5"/>
      <c r="B67" s="5"/>
      <c r="C67" s="4"/>
      <c r="D67" s="4"/>
    </row>
    <row r="68" spans="1:4" s="303" customFormat="1" x14ac:dyDescent="0.2">
      <c r="A68" s="5"/>
      <c r="B68" s="5"/>
      <c r="C68" s="4"/>
      <c r="D68" s="4"/>
    </row>
    <row r="69" spans="1:4" s="303" customFormat="1" x14ac:dyDescent="0.2">
      <c r="A69" s="5"/>
      <c r="B69" s="5"/>
      <c r="C69" s="4"/>
      <c r="D69" s="4"/>
    </row>
    <row r="70" spans="1:4" s="303" customFormat="1" x14ac:dyDescent="0.2">
      <c r="A70" s="5"/>
      <c r="B70" s="5"/>
      <c r="C70" s="4"/>
      <c r="D70" s="4"/>
    </row>
    <row r="71" spans="1:4" s="303" customFormat="1" x14ac:dyDescent="0.2">
      <c r="A71" s="5"/>
      <c r="B71" s="5"/>
      <c r="C71" s="4"/>
      <c r="D71" s="4"/>
    </row>
    <row r="72" spans="1:4" s="303" customFormat="1" x14ac:dyDescent="0.2">
      <c r="A72" s="5"/>
      <c r="B72" s="5"/>
      <c r="C72" s="4"/>
      <c r="D72" s="4"/>
    </row>
    <row r="73" spans="1:4" s="303" customFormat="1" x14ac:dyDescent="0.2">
      <c r="A73" s="5"/>
      <c r="B73" s="5"/>
      <c r="C73" s="4"/>
      <c r="D73" s="4"/>
    </row>
    <row r="74" spans="1:4" s="303" customFormat="1" x14ac:dyDescent="0.2">
      <c r="A74" s="5"/>
      <c r="B74" s="5"/>
      <c r="C74" s="4"/>
      <c r="D74" s="4"/>
    </row>
    <row r="75" spans="1:4" s="303" customFormat="1" x14ac:dyDescent="0.2">
      <c r="A75" s="5"/>
      <c r="B75" s="5"/>
      <c r="C75" s="4"/>
      <c r="D75" s="4"/>
    </row>
    <row r="76" spans="1:4" s="303" customFormat="1" x14ac:dyDescent="0.2">
      <c r="A76" s="5"/>
      <c r="B76" s="5"/>
      <c r="C76" s="4"/>
      <c r="D76" s="4"/>
    </row>
    <row r="77" spans="1:4" s="303" customFormat="1" x14ac:dyDescent="0.2">
      <c r="A77" s="5"/>
      <c r="B77" s="5"/>
      <c r="C77" s="4"/>
      <c r="D77" s="4"/>
    </row>
    <row r="78" spans="1:4" s="303" customFormat="1" x14ac:dyDescent="0.2">
      <c r="A78" s="5"/>
      <c r="B78" s="5"/>
      <c r="C78" s="4"/>
      <c r="D78" s="4"/>
    </row>
    <row r="79" spans="1:4" s="303" customFormat="1" x14ac:dyDescent="0.2">
      <c r="A79" s="5"/>
      <c r="B79" s="5"/>
      <c r="C79" s="4"/>
      <c r="D79" s="4"/>
    </row>
    <row r="80" spans="1:4" s="303" customFormat="1" x14ac:dyDescent="0.2">
      <c r="A80" s="5"/>
      <c r="B80" s="5"/>
      <c r="C80" s="4"/>
      <c r="D80" s="4"/>
    </row>
    <row r="81" spans="1:4" s="303" customFormat="1" x14ac:dyDescent="0.2">
      <c r="A81" s="5"/>
      <c r="B81" s="5"/>
      <c r="C81" s="4"/>
      <c r="D81" s="4"/>
    </row>
    <row r="82" spans="1:4" s="303" customFormat="1" x14ac:dyDescent="0.2">
      <c r="A82" s="5"/>
      <c r="B82" s="5"/>
      <c r="C82" s="4"/>
      <c r="D82" s="4"/>
    </row>
    <row r="83" spans="1:4" s="303" customFormat="1" x14ac:dyDescent="0.2">
      <c r="A83" s="5"/>
      <c r="B83" s="5"/>
      <c r="C83" s="4"/>
      <c r="D83" s="4"/>
    </row>
    <row r="84" spans="1:4" s="303" customFormat="1" x14ac:dyDescent="0.2">
      <c r="A84" s="5"/>
      <c r="B84" s="5"/>
      <c r="C84" s="4"/>
      <c r="D84" s="4"/>
    </row>
  </sheetData>
  <mergeCells count="23">
    <mergeCell ref="A34:B34"/>
    <mergeCell ref="A35:B35"/>
    <mergeCell ref="A36:B36"/>
    <mergeCell ref="A30:B30"/>
    <mergeCell ref="A37:B37"/>
    <mergeCell ref="A29:B29"/>
    <mergeCell ref="A32:B32"/>
    <mergeCell ref="A33:B33"/>
    <mergeCell ref="A23:B23"/>
    <mergeCell ref="A24:B24"/>
    <mergeCell ref="A25:B25"/>
    <mergeCell ref="A22:B22"/>
    <mergeCell ref="A5:B5"/>
    <mergeCell ref="A6:B6"/>
    <mergeCell ref="A9:B9"/>
    <mergeCell ref="A12:B12"/>
    <mergeCell ref="A14:B14"/>
    <mergeCell ref="A13:B13"/>
    <mergeCell ref="A10:B10"/>
    <mergeCell ref="A11:B11"/>
    <mergeCell ref="A18:B18"/>
    <mergeCell ref="A19:B19"/>
    <mergeCell ref="A21:B21"/>
  </mergeCells>
  <phoneticPr fontId="27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pageSetUpPr fitToPage="1"/>
  </sheetPr>
  <dimension ref="A1:C21"/>
  <sheetViews>
    <sheetView showGridLines="0" view="pageBreakPreview" zoomScaleNormal="100" zoomScaleSheetLayoutView="100" workbookViewId="0">
      <selection activeCell="D18" sqref="D18"/>
    </sheetView>
  </sheetViews>
  <sheetFormatPr defaultRowHeight="13.2" x14ac:dyDescent="0.25"/>
  <cols>
    <col min="1" max="1" width="53.88671875" style="45" customWidth="1"/>
    <col min="2" max="2" width="22.5546875" style="45" customWidth="1"/>
    <col min="3" max="3" width="18.109375" style="45" bestFit="1" customWidth="1"/>
    <col min="4" max="4" width="18.109375" style="45" customWidth="1"/>
    <col min="5" max="256" width="9.109375" style="45"/>
    <col min="257" max="257" width="53.88671875" style="45" customWidth="1"/>
    <col min="258" max="258" width="22.5546875" style="45" customWidth="1"/>
    <col min="259" max="259" width="18.109375" style="45" bestFit="1" customWidth="1"/>
    <col min="260" max="260" width="18.109375" style="45" customWidth="1"/>
    <col min="261" max="512" width="9.109375" style="45"/>
    <col min="513" max="513" width="53.88671875" style="45" customWidth="1"/>
    <col min="514" max="514" width="22.5546875" style="45" customWidth="1"/>
    <col min="515" max="515" width="18.109375" style="45" bestFit="1" customWidth="1"/>
    <col min="516" max="516" width="18.109375" style="45" customWidth="1"/>
    <col min="517" max="768" width="9.109375" style="45"/>
    <col min="769" max="769" width="53.88671875" style="45" customWidth="1"/>
    <col min="770" max="770" width="22.5546875" style="45" customWidth="1"/>
    <col min="771" max="771" width="18.109375" style="45" bestFit="1" customWidth="1"/>
    <col min="772" max="772" width="18.109375" style="45" customWidth="1"/>
    <col min="773" max="1024" width="9.109375" style="45"/>
    <col min="1025" max="1025" width="53.88671875" style="45" customWidth="1"/>
    <col min="1026" max="1026" width="22.5546875" style="45" customWidth="1"/>
    <col min="1027" max="1027" width="18.109375" style="45" bestFit="1" customWidth="1"/>
    <col min="1028" max="1028" width="18.109375" style="45" customWidth="1"/>
    <col min="1029" max="1280" width="9.109375" style="45"/>
    <col min="1281" max="1281" width="53.88671875" style="45" customWidth="1"/>
    <col min="1282" max="1282" width="22.5546875" style="45" customWidth="1"/>
    <col min="1283" max="1283" width="18.109375" style="45" bestFit="1" customWidth="1"/>
    <col min="1284" max="1284" width="18.109375" style="45" customWidth="1"/>
    <col min="1285" max="1536" width="9.109375" style="45"/>
    <col min="1537" max="1537" width="53.88671875" style="45" customWidth="1"/>
    <col min="1538" max="1538" width="22.5546875" style="45" customWidth="1"/>
    <col min="1539" max="1539" width="18.109375" style="45" bestFit="1" customWidth="1"/>
    <col min="1540" max="1540" width="18.109375" style="45" customWidth="1"/>
    <col min="1541" max="1792" width="9.109375" style="45"/>
    <col min="1793" max="1793" width="53.88671875" style="45" customWidth="1"/>
    <col min="1794" max="1794" width="22.5546875" style="45" customWidth="1"/>
    <col min="1795" max="1795" width="18.109375" style="45" bestFit="1" customWidth="1"/>
    <col min="1796" max="1796" width="18.109375" style="45" customWidth="1"/>
    <col min="1797" max="2048" width="9.109375" style="45"/>
    <col min="2049" max="2049" width="53.88671875" style="45" customWidth="1"/>
    <col min="2050" max="2050" width="22.5546875" style="45" customWidth="1"/>
    <col min="2051" max="2051" width="18.109375" style="45" bestFit="1" customWidth="1"/>
    <col min="2052" max="2052" width="18.109375" style="45" customWidth="1"/>
    <col min="2053" max="2304" width="9.109375" style="45"/>
    <col min="2305" max="2305" width="53.88671875" style="45" customWidth="1"/>
    <col min="2306" max="2306" width="22.5546875" style="45" customWidth="1"/>
    <col min="2307" max="2307" width="18.109375" style="45" bestFit="1" customWidth="1"/>
    <col min="2308" max="2308" width="18.109375" style="45" customWidth="1"/>
    <col min="2309" max="2560" width="9.109375" style="45"/>
    <col min="2561" max="2561" width="53.88671875" style="45" customWidth="1"/>
    <col min="2562" max="2562" width="22.5546875" style="45" customWidth="1"/>
    <col min="2563" max="2563" width="18.109375" style="45" bestFit="1" customWidth="1"/>
    <col min="2564" max="2564" width="18.109375" style="45" customWidth="1"/>
    <col min="2565" max="2816" width="9.109375" style="45"/>
    <col min="2817" max="2817" width="53.88671875" style="45" customWidth="1"/>
    <col min="2818" max="2818" width="22.5546875" style="45" customWidth="1"/>
    <col min="2819" max="2819" width="18.109375" style="45" bestFit="1" customWidth="1"/>
    <col min="2820" max="2820" width="18.109375" style="45" customWidth="1"/>
    <col min="2821" max="3072" width="9.109375" style="45"/>
    <col min="3073" max="3073" width="53.88671875" style="45" customWidth="1"/>
    <col min="3074" max="3074" width="22.5546875" style="45" customWidth="1"/>
    <col min="3075" max="3075" width="18.109375" style="45" bestFit="1" customWidth="1"/>
    <col min="3076" max="3076" width="18.109375" style="45" customWidth="1"/>
    <col min="3077" max="3328" width="9.109375" style="45"/>
    <col min="3329" max="3329" width="53.88671875" style="45" customWidth="1"/>
    <col min="3330" max="3330" width="22.5546875" style="45" customWidth="1"/>
    <col min="3331" max="3331" width="18.109375" style="45" bestFit="1" customWidth="1"/>
    <col min="3332" max="3332" width="18.109375" style="45" customWidth="1"/>
    <col min="3333" max="3584" width="9.109375" style="45"/>
    <col min="3585" max="3585" width="53.88671875" style="45" customWidth="1"/>
    <col min="3586" max="3586" width="22.5546875" style="45" customWidth="1"/>
    <col min="3587" max="3587" width="18.109375" style="45" bestFit="1" customWidth="1"/>
    <col min="3588" max="3588" width="18.109375" style="45" customWidth="1"/>
    <col min="3589" max="3840" width="9.109375" style="45"/>
    <col min="3841" max="3841" width="53.88671875" style="45" customWidth="1"/>
    <col min="3842" max="3842" width="22.5546875" style="45" customWidth="1"/>
    <col min="3843" max="3843" width="18.109375" style="45" bestFit="1" customWidth="1"/>
    <col min="3844" max="3844" width="18.109375" style="45" customWidth="1"/>
    <col min="3845" max="4096" width="9.109375" style="45"/>
    <col min="4097" max="4097" width="53.88671875" style="45" customWidth="1"/>
    <col min="4098" max="4098" width="22.5546875" style="45" customWidth="1"/>
    <col min="4099" max="4099" width="18.109375" style="45" bestFit="1" customWidth="1"/>
    <col min="4100" max="4100" width="18.109375" style="45" customWidth="1"/>
    <col min="4101" max="4352" width="9.109375" style="45"/>
    <col min="4353" max="4353" width="53.88671875" style="45" customWidth="1"/>
    <col min="4354" max="4354" width="22.5546875" style="45" customWidth="1"/>
    <col min="4355" max="4355" width="18.109375" style="45" bestFit="1" customWidth="1"/>
    <col min="4356" max="4356" width="18.109375" style="45" customWidth="1"/>
    <col min="4357" max="4608" width="9.109375" style="45"/>
    <col min="4609" max="4609" width="53.88671875" style="45" customWidth="1"/>
    <col min="4610" max="4610" width="22.5546875" style="45" customWidth="1"/>
    <col min="4611" max="4611" width="18.109375" style="45" bestFit="1" customWidth="1"/>
    <col min="4612" max="4612" width="18.109375" style="45" customWidth="1"/>
    <col min="4613" max="4864" width="9.109375" style="45"/>
    <col min="4865" max="4865" width="53.88671875" style="45" customWidth="1"/>
    <col min="4866" max="4866" width="22.5546875" style="45" customWidth="1"/>
    <col min="4867" max="4867" width="18.109375" style="45" bestFit="1" customWidth="1"/>
    <col min="4868" max="4868" width="18.109375" style="45" customWidth="1"/>
    <col min="4869" max="5120" width="9.109375" style="45"/>
    <col min="5121" max="5121" width="53.88671875" style="45" customWidth="1"/>
    <col min="5122" max="5122" width="22.5546875" style="45" customWidth="1"/>
    <col min="5123" max="5123" width="18.109375" style="45" bestFit="1" customWidth="1"/>
    <col min="5124" max="5124" width="18.109375" style="45" customWidth="1"/>
    <col min="5125" max="5376" width="9.109375" style="45"/>
    <col min="5377" max="5377" width="53.88671875" style="45" customWidth="1"/>
    <col min="5378" max="5378" width="22.5546875" style="45" customWidth="1"/>
    <col min="5379" max="5379" width="18.109375" style="45" bestFit="1" customWidth="1"/>
    <col min="5380" max="5380" width="18.109375" style="45" customWidth="1"/>
    <col min="5381" max="5632" width="9.109375" style="45"/>
    <col min="5633" max="5633" width="53.88671875" style="45" customWidth="1"/>
    <col min="5634" max="5634" width="22.5546875" style="45" customWidth="1"/>
    <col min="5635" max="5635" width="18.109375" style="45" bestFit="1" customWidth="1"/>
    <col min="5636" max="5636" width="18.109375" style="45" customWidth="1"/>
    <col min="5637" max="5888" width="9.109375" style="45"/>
    <col min="5889" max="5889" width="53.88671875" style="45" customWidth="1"/>
    <col min="5890" max="5890" width="22.5546875" style="45" customWidth="1"/>
    <col min="5891" max="5891" width="18.109375" style="45" bestFit="1" customWidth="1"/>
    <col min="5892" max="5892" width="18.109375" style="45" customWidth="1"/>
    <col min="5893" max="6144" width="9.109375" style="45"/>
    <col min="6145" max="6145" width="53.88671875" style="45" customWidth="1"/>
    <col min="6146" max="6146" width="22.5546875" style="45" customWidth="1"/>
    <col min="6147" max="6147" width="18.109375" style="45" bestFit="1" customWidth="1"/>
    <col min="6148" max="6148" width="18.109375" style="45" customWidth="1"/>
    <col min="6149" max="6400" width="9.109375" style="45"/>
    <col min="6401" max="6401" width="53.88671875" style="45" customWidth="1"/>
    <col min="6402" max="6402" width="22.5546875" style="45" customWidth="1"/>
    <col min="6403" max="6403" width="18.109375" style="45" bestFit="1" customWidth="1"/>
    <col min="6404" max="6404" width="18.109375" style="45" customWidth="1"/>
    <col min="6405" max="6656" width="9.109375" style="45"/>
    <col min="6657" max="6657" width="53.88671875" style="45" customWidth="1"/>
    <col min="6658" max="6658" width="22.5546875" style="45" customWidth="1"/>
    <col min="6659" max="6659" width="18.109375" style="45" bestFit="1" customWidth="1"/>
    <col min="6660" max="6660" width="18.109375" style="45" customWidth="1"/>
    <col min="6661" max="6912" width="9.109375" style="45"/>
    <col min="6913" max="6913" width="53.88671875" style="45" customWidth="1"/>
    <col min="6914" max="6914" width="22.5546875" style="45" customWidth="1"/>
    <col min="6915" max="6915" width="18.109375" style="45" bestFit="1" customWidth="1"/>
    <col min="6916" max="6916" width="18.109375" style="45" customWidth="1"/>
    <col min="6917" max="7168" width="9.109375" style="45"/>
    <col min="7169" max="7169" width="53.88671875" style="45" customWidth="1"/>
    <col min="7170" max="7170" width="22.5546875" style="45" customWidth="1"/>
    <col min="7171" max="7171" width="18.109375" style="45" bestFit="1" customWidth="1"/>
    <col min="7172" max="7172" width="18.109375" style="45" customWidth="1"/>
    <col min="7173" max="7424" width="9.109375" style="45"/>
    <col min="7425" max="7425" width="53.88671875" style="45" customWidth="1"/>
    <col min="7426" max="7426" width="22.5546875" style="45" customWidth="1"/>
    <col min="7427" max="7427" width="18.109375" style="45" bestFit="1" customWidth="1"/>
    <col min="7428" max="7428" width="18.109375" style="45" customWidth="1"/>
    <col min="7429" max="7680" width="9.109375" style="45"/>
    <col min="7681" max="7681" width="53.88671875" style="45" customWidth="1"/>
    <col min="7682" max="7682" width="22.5546875" style="45" customWidth="1"/>
    <col min="7683" max="7683" width="18.109375" style="45" bestFit="1" customWidth="1"/>
    <col min="7684" max="7684" width="18.109375" style="45" customWidth="1"/>
    <col min="7685" max="7936" width="9.109375" style="45"/>
    <col min="7937" max="7937" width="53.88671875" style="45" customWidth="1"/>
    <col min="7938" max="7938" width="22.5546875" style="45" customWidth="1"/>
    <col min="7939" max="7939" width="18.109375" style="45" bestFit="1" customWidth="1"/>
    <col min="7940" max="7940" width="18.109375" style="45" customWidth="1"/>
    <col min="7941" max="8192" width="9.109375" style="45"/>
    <col min="8193" max="8193" width="53.88671875" style="45" customWidth="1"/>
    <col min="8194" max="8194" width="22.5546875" style="45" customWidth="1"/>
    <col min="8195" max="8195" width="18.109375" style="45" bestFit="1" customWidth="1"/>
    <col min="8196" max="8196" width="18.109375" style="45" customWidth="1"/>
    <col min="8197" max="8448" width="9.109375" style="45"/>
    <col min="8449" max="8449" width="53.88671875" style="45" customWidth="1"/>
    <col min="8450" max="8450" width="22.5546875" style="45" customWidth="1"/>
    <col min="8451" max="8451" width="18.109375" style="45" bestFit="1" customWidth="1"/>
    <col min="8452" max="8452" width="18.109375" style="45" customWidth="1"/>
    <col min="8453" max="8704" width="9.109375" style="45"/>
    <col min="8705" max="8705" width="53.88671875" style="45" customWidth="1"/>
    <col min="8706" max="8706" width="22.5546875" style="45" customWidth="1"/>
    <col min="8707" max="8707" width="18.109375" style="45" bestFit="1" customWidth="1"/>
    <col min="8708" max="8708" width="18.109375" style="45" customWidth="1"/>
    <col min="8709" max="8960" width="9.109375" style="45"/>
    <col min="8961" max="8961" width="53.88671875" style="45" customWidth="1"/>
    <col min="8962" max="8962" width="22.5546875" style="45" customWidth="1"/>
    <col min="8963" max="8963" width="18.109375" style="45" bestFit="1" customWidth="1"/>
    <col min="8964" max="8964" width="18.109375" style="45" customWidth="1"/>
    <col min="8965" max="9216" width="9.109375" style="45"/>
    <col min="9217" max="9217" width="53.88671875" style="45" customWidth="1"/>
    <col min="9218" max="9218" width="22.5546875" style="45" customWidth="1"/>
    <col min="9219" max="9219" width="18.109375" style="45" bestFit="1" customWidth="1"/>
    <col min="9220" max="9220" width="18.109375" style="45" customWidth="1"/>
    <col min="9221" max="9472" width="9.109375" style="45"/>
    <col min="9473" max="9473" width="53.88671875" style="45" customWidth="1"/>
    <col min="9474" max="9474" width="22.5546875" style="45" customWidth="1"/>
    <col min="9475" max="9475" width="18.109375" style="45" bestFit="1" customWidth="1"/>
    <col min="9476" max="9476" width="18.109375" style="45" customWidth="1"/>
    <col min="9477" max="9728" width="9.109375" style="45"/>
    <col min="9729" max="9729" width="53.88671875" style="45" customWidth="1"/>
    <col min="9730" max="9730" width="22.5546875" style="45" customWidth="1"/>
    <col min="9731" max="9731" width="18.109375" style="45" bestFit="1" customWidth="1"/>
    <col min="9732" max="9732" width="18.109375" style="45" customWidth="1"/>
    <col min="9733" max="9984" width="9.109375" style="45"/>
    <col min="9985" max="9985" width="53.88671875" style="45" customWidth="1"/>
    <col min="9986" max="9986" width="22.5546875" style="45" customWidth="1"/>
    <col min="9987" max="9987" width="18.109375" style="45" bestFit="1" customWidth="1"/>
    <col min="9988" max="9988" width="18.109375" style="45" customWidth="1"/>
    <col min="9989" max="10240" width="9.109375" style="45"/>
    <col min="10241" max="10241" width="53.88671875" style="45" customWidth="1"/>
    <col min="10242" max="10242" width="22.5546875" style="45" customWidth="1"/>
    <col min="10243" max="10243" width="18.109375" style="45" bestFit="1" customWidth="1"/>
    <col min="10244" max="10244" width="18.109375" style="45" customWidth="1"/>
    <col min="10245" max="10496" width="9.109375" style="45"/>
    <col min="10497" max="10497" width="53.88671875" style="45" customWidth="1"/>
    <col min="10498" max="10498" width="22.5546875" style="45" customWidth="1"/>
    <col min="10499" max="10499" width="18.109375" style="45" bestFit="1" customWidth="1"/>
    <col min="10500" max="10500" width="18.109375" style="45" customWidth="1"/>
    <col min="10501" max="10752" width="9.109375" style="45"/>
    <col min="10753" max="10753" width="53.88671875" style="45" customWidth="1"/>
    <col min="10754" max="10754" width="22.5546875" style="45" customWidth="1"/>
    <col min="10755" max="10755" width="18.109375" style="45" bestFit="1" customWidth="1"/>
    <col min="10756" max="10756" width="18.109375" style="45" customWidth="1"/>
    <col min="10757" max="11008" width="9.109375" style="45"/>
    <col min="11009" max="11009" width="53.88671875" style="45" customWidth="1"/>
    <col min="11010" max="11010" width="22.5546875" style="45" customWidth="1"/>
    <col min="11011" max="11011" width="18.109375" style="45" bestFit="1" customWidth="1"/>
    <col min="11012" max="11012" width="18.109375" style="45" customWidth="1"/>
    <col min="11013" max="11264" width="9.109375" style="45"/>
    <col min="11265" max="11265" width="53.88671875" style="45" customWidth="1"/>
    <col min="11266" max="11266" width="22.5546875" style="45" customWidth="1"/>
    <col min="11267" max="11267" width="18.109375" style="45" bestFit="1" customWidth="1"/>
    <col min="11268" max="11268" width="18.109375" style="45" customWidth="1"/>
    <col min="11269" max="11520" width="9.109375" style="45"/>
    <col min="11521" max="11521" width="53.88671875" style="45" customWidth="1"/>
    <col min="11522" max="11522" width="22.5546875" style="45" customWidth="1"/>
    <col min="11523" max="11523" width="18.109375" style="45" bestFit="1" customWidth="1"/>
    <col min="11524" max="11524" width="18.109375" style="45" customWidth="1"/>
    <col min="11525" max="11776" width="9.109375" style="45"/>
    <col min="11777" max="11777" width="53.88671875" style="45" customWidth="1"/>
    <col min="11778" max="11778" width="22.5546875" style="45" customWidth="1"/>
    <col min="11779" max="11779" width="18.109375" style="45" bestFit="1" customWidth="1"/>
    <col min="11780" max="11780" width="18.109375" style="45" customWidth="1"/>
    <col min="11781" max="12032" width="9.109375" style="45"/>
    <col min="12033" max="12033" width="53.88671875" style="45" customWidth="1"/>
    <col min="12034" max="12034" width="22.5546875" style="45" customWidth="1"/>
    <col min="12035" max="12035" width="18.109375" style="45" bestFit="1" customWidth="1"/>
    <col min="12036" max="12036" width="18.109375" style="45" customWidth="1"/>
    <col min="12037" max="12288" width="9.109375" style="45"/>
    <col min="12289" max="12289" width="53.88671875" style="45" customWidth="1"/>
    <col min="12290" max="12290" width="22.5546875" style="45" customWidth="1"/>
    <col min="12291" max="12291" width="18.109375" style="45" bestFit="1" customWidth="1"/>
    <col min="12292" max="12292" width="18.109375" style="45" customWidth="1"/>
    <col min="12293" max="12544" width="9.109375" style="45"/>
    <col min="12545" max="12545" width="53.88671875" style="45" customWidth="1"/>
    <col min="12546" max="12546" width="22.5546875" style="45" customWidth="1"/>
    <col min="12547" max="12547" width="18.109375" style="45" bestFit="1" customWidth="1"/>
    <col min="12548" max="12548" width="18.109375" style="45" customWidth="1"/>
    <col min="12549" max="12800" width="9.109375" style="45"/>
    <col min="12801" max="12801" width="53.88671875" style="45" customWidth="1"/>
    <col min="12802" max="12802" width="22.5546875" style="45" customWidth="1"/>
    <col min="12803" max="12803" width="18.109375" style="45" bestFit="1" customWidth="1"/>
    <col min="12804" max="12804" width="18.109375" style="45" customWidth="1"/>
    <col min="12805" max="13056" width="9.109375" style="45"/>
    <col min="13057" max="13057" width="53.88671875" style="45" customWidth="1"/>
    <col min="13058" max="13058" width="22.5546875" style="45" customWidth="1"/>
    <col min="13059" max="13059" width="18.109375" style="45" bestFit="1" customWidth="1"/>
    <col min="13060" max="13060" width="18.109375" style="45" customWidth="1"/>
    <col min="13061" max="13312" width="9.109375" style="45"/>
    <col min="13313" max="13313" width="53.88671875" style="45" customWidth="1"/>
    <col min="13314" max="13314" width="22.5546875" style="45" customWidth="1"/>
    <col min="13315" max="13315" width="18.109375" style="45" bestFit="1" customWidth="1"/>
    <col min="13316" max="13316" width="18.109375" style="45" customWidth="1"/>
    <col min="13317" max="13568" width="9.109375" style="45"/>
    <col min="13569" max="13569" width="53.88671875" style="45" customWidth="1"/>
    <col min="13570" max="13570" width="22.5546875" style="45" customWidth="1"/>
    <col min="13571" max="13571" width="18.109375" style="45" bestFit="1" customWidth="1"/>
    <col min="13572" max="13572" width="18.109375" style="45" customWidth="1"/>
    <col min="13573" max="13824" width="9.109375" style="45"/>
    <col min="13825" max="13825" width="53.88671875" style="45" customWidth="1"/>
    <col min="13826" max="13826" width="22.5546875" style="45" customWidth="1"/>
    <col min="13827" max="13827" width="18.109375" style="45" bestFit="1" customWidth="1"/>
    <col min="13828" max="13828" width="18.109375" style="45" customWidth="1"/>
    <col min="13829" max="14080" width="9.109375" style="45"/>
    <col min="14081" max="14081" width="53.88671875" style="45" customWidth="1"/>
    <col min="14082" max="14082" width="22.5546875" style="45" customWidth="1"/>
    <col min="14083" max="14083" width="18.109375" style="45" bestFit="1" customWidth="1"/>
    <col min="14084" max="14084" width="18.109375" style="45" customWidth="1"/>
    <col min="14085" max="14336" width="9.109375" style="45"/>
    <col min="14337" max="14337" width="53.88671875" style="45" customWidth="1"/>
    <col min="14338" max="14338" width="22.5546875" style="45" customWidth="1"/>
    <col min="14339" max="14339" width="18.109375" style="45" bestFit="1" customWidth="1"/>
    <col min="14340" max="14340" width="18.109375" style="45" customWidth="1"/>
    <col min="14341" max="14592" width="9.109375" style="45"/>
    <col min="14593" max="14593" width="53.88671875" style="45" customWidth="1"/>
    <col min="14594" max="14594" width="22.5546875" style="45" customWidth="1"/>
    <col min="14595" max="14595" width="18.109375" style="45" bestFit="1" customWidth="1"/>
    <col min="14596" max="14596" width="18.109375" style="45" customWidth="1"/>
    <col min="14597" max="14848" width="9.109375" style="45"/>
    <col min="14849" max="14849" width="53.88671875" style="45" customWidth="1"/>
    <col min="14850" max="14850" width="22.5546875" style="45" customWidth="1"/>
    <col min="14851" max="14851" width="18.109375" style="45" bestFit="1" customWidth="1"/>
    <col min="14852" max="14852" width="18.109375" style="45" customWidth="1"/>
    <col min="14853" max="15104" width="9.109375" style="45"/>
    <col min="15105" max="15105" width="53.88671875" style="45" customWidth="1"/>
    <col min="15106" max="15106" width="22.5546875" style="45" customWidth="1"/>
    <col min="15107" max="15107" width="18.109375" style="45" bestFit="1" customWidth="1"/>
    <col min="15108" max="15108" width="18.109375" style="45" customWidth="1"/>
    <col min="15109" max="15360" width="9.109375" style="45"/>
    <col min="15361" max="15361" width="53.88671875" style="45" customWidth="1"/>
    <col min="15362" max="15362" width="22.5546875" style="45" customWidth="1"/>
    <col min="15363" max="15363" width="18.109375" style="45" bestFit="1" customWidth="1"/>
    <col min="15364" max="15364" width="18.109375" style="45" customWidth="1"/>
    <col min="15365" max="15616" width="9.109375" style="45"/>
    <col min="15617" max="15617" width="53.88671875" style="45" customWidth="1"/>
    <col min="15618" max="15618" width="22.5546875" style="45" customWidth="1"/>
    <col min="15619" max="15619" width="18.109375" style="45" bestFit="1" customWidth="1"/>
    <col min="15620" max="15620" width="18.109375" style="45" customWidth="1"/>
    <col min="15621" max="15872" width="9.109375" style="45"/>
    <col min="15873" max="15873" width="53.88671875" style="45" customWidth="1"/>
    <col min="15874" max="15874" width="22.5546875" style="45" customWidth="1"/>
    <col min="15875" max="15875" width="18.109375" style="45" bestFit="1" customWidth="1"/>
    <col min="15876" max="15876" width="18.109375" style="45" customWidth="1"/>
    <col min="15877" max="16128" width="9.109375" style="45"/>
    <col min="16129" max="16129" width="53.88671875" style="45" customWidth="1"/>
    <col min="16130" max="16130" width="22.5546875" style="45" customWidth="1"/>
    <col min="16131" max="16131" width="18.109375" style="45" bestFit="1" customWidth="1"/>
    <col min="16132" max="16132" width="18.109375" style="45" customWidth="1"/>
    <col min="16133" max="16384" width="9.109375" style="45"/>
  </cols>
  <sheetData>
    <row r="1" spans="1:3" x14ac:dyDescent="0.25">
      <c r="A1" s="70"/>
    </row>
    <row r="2" spans="1:3" x14ac:dyDescent="0.25">
      <c r="A2" s="535" t="s">
        <v>994</v>
      </c>
      <c r="B2" s="535"/>
      <c r="C2" s="56"/>
    </row>
    <row r="3" spans="1:3" x14ac:dyDescent="0.25">
      <c r="A3" s="46"/>
      <c r="B3" s="56"/>
      <c r="C3" s="56"/>
    </row>
    <row r="4" spans="1:3" x14ac:dyDescent="0.25">
      <c r="A4" s="66" t="s">
        <v>2</v>
      </c>
      <c r="B4" s="56"/>
      <c r="C4" s="56"/>
    </row>
    <row r="5" spans="1:3" x14ac:dyDescent="0.25">
      <c r="A5" s="56"/>
      <c r="B5" s="771"/>
      <c r="C5" s="771"/>
    </row>
    <row r="6" spans="1:3" x14ac:dyDescent="0.25">
      <c r="A6" s="126" t="s">
        <v>416</v>
      </c>
      <c r="B6" s="92" t="str">
        <f>'Dane podstawowe'!B7</f>
        <v>01.01.2016-31.12.2016</v>
      </c>
      <c r="C6" s="92" t="str">
        <f>'Dane podstawowe'!B12</f>
        <v>01.01.2015-31.12.2015</v>
      </c>
    </row>
    <row r="7" spans="1:3" ht="13.8" thickBot="1" x14ac:dyDescent="0.3">
      <c r="A7" s="566" t="s">
        <v>82</v>
      </c>
      <c r="B7" s="567">
        <v>26</v>
      </c>
      <c r="C7" s="567">
        <v>30</v>
      </c>
    </row>
    <row r="8" spans="1:3" ht="13.8" thickBot="1" x14ac:dyDescent="0.3">
      <c r="A8" s="566" t="s">
        <v>790</v>
      </c>
      <c r="B8" s="567">
        <v>23</v>
      </c>
      <c r="C8" s="567">
        <v>17</v>
      </c>
    </row>
    <row r="9" spans="1:3" ht="13.8" thickBot="1" x14ac:dyDescent="0.3">
      <c r="A9" s="566" t="s">
        <v>83</v>
      </c>
      <c r="B9" s="567">
        <v>37</v>
      </c>
      <c r="C9" s="567">
        <v>17</v>
      </c>
    </row>
    <row r="10" spans="1:3" ht="13.8" thickBot="1" x14ac:dyDescent="0.3">
      <c r="A10" s="566" t="s">
        <v>791</v>
      </c>
      <c r="B10" s="567">
        <v>33</v>
      </c>
      <c r="C10" s="567">
        <v>28</v>
      </c>
    </row>
    <row r="11" spans="1:3" ht="13.8" thickBot="1" x14ac:dyDescent="0.3">
      <c r="A11" s="566" t="s">
        <v>792</v>
      </c>
      <c r="B11" s="567">
        <v>4</v>
      </c>
      <c r="C11" s="567">
        <v>2</v>
      </c>
    </row>
    <row r="12" spans="1:3" x14ac:dyDescent="0.25">
      <c r="A12" s="72" t="s">
        <v>26</v>
      </c>
      <c r="B12" s="116">
        <f>SUM(B7:B11)</f>
        <v>123</v>
      </c>
      <c r="C12" s="116">
        <f>SUM(C7:C11)</f>
        <v>94</v>
      </c>
    </row>
    <row r="13" spans="1:3" x14ac:dyDescent="0.25">
      <c r="A13" s="56"/>
      <c r="B13" s="56"/>
      <c r="C13" s="56"/>
    </row>
    <row r="14" spans="1:3" x14ac:dyDescent="0.25">
      <c r="A14" s="56"/>
      <c r="B14" s="56"/>
      <c r="C14" s="56"/>
    </row>
    <row r="15" spans="1:3" x14ac:dyDescent="0.25">
      <c r="A15" s="66" t="s">
        <v>25</v>
      </c>
      <c r="B15" s="56"/>
      <c r="C15" s="56"/>
    </row>
    <row r="16" spans="1:3" x14ac:dyDescent="0.25">
      <c r="A16" s="56"/>
      <c r="B16" s="56"/>
      <c r="C16" s="56"/>
    </row>
    <row r="17" spans="1:3" x14ac:dyDescent="0.25">
      <c r="A17" s="126" t="s">
        <v>416</v>
      </c>
      <c r="B17" s="92" t="str">
        <f>B6</f>
        <v>01.01.2016-31.12.2016</v>
      </c>
      <c r="C17" s="92" t="str">
        <f>C6</f>
        <v>01.01.2015-31.12.2015</v>
      </c>
    </row>
    <row r="18" spans="1:3" ht="13.8" thickBot="1" x14ac:dyDescent="0.3">
      <c r="A18" s="552" t="s">
        <v>0</v>
      </c>
      <c r="B18" s="567">
        <v>61</v>
      </c>
      <c r="C18" s="567">
        <v>40</v>
      </c>
    </row>
    <row r="19" spans="1:3" ht="13.8" thickBot="1" x14ac:dyDescent="0.3">
      <c r="A19" s="552" t="s">
        <v>1</v>
      </c>
      <c r="B19" s="567">
        <v>31</v>
      </c>
      <c r="C19" s="567">
        <v>16</v>
      </c>
    </row>
    <row r="20" spans="1:3" x14ac:dyDescent="0.25">
      <c r="A20" s="73" t="s">
        <v>26</v>
      </c>
      <c r="B20" s="160">
        <f>B18-B19</f>
        <v>30</v>
      </c>
      <c r="C20" s="160">
        <f>C18-C19</f>
        <v>24</v>
      </c>
    </row>
    <row r="21" spans="1:3" x14ac:dyDescent="0.25">
      <c r="A21" s="56"/>
      <c r="B21" s="56"/>
      <c r="C21" s="56"/>
    </row>
  </sheetData>
  <mergeCells count="1">
    <mergeCell ref="B5:C5"/>
  </mergeCells>
  <phoneticPr fontId="27" type="noConversion"/>
  <pageMargins left="0.75" right="0.75" top="1" bottom="1" header="0.5" footer="0.5"/>
  <pageSetup paperSize="9" scale="6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9"/>
  <sheetViews>
    <sheetView showGridLines="0" view="pageBreakPreview" zoomScaleNormal="100" workbookViewId="0">
      <selection activeCell="D20" sqref="D20"/>
    </sheetView>
  </sheetViews>
  <sheetFormatPr defaultRowHeight="13.2" x14ac:dyDescent="0.25"/>
  <cols>
    <col min="2" max="2" width="46.5546875" customWidth="1"/>
    <col min="3" max="4" width="13.6640625" customWidth="1"/>
    <col min="5" max="5" width="14.6640625" customWidth="1"/>
  </cols>
  <sheetData>
    <row r="2" spans="2:4" x14ac:dyDescent="0.25">
      <c r="B2" s="535" t="s">
        <v>995</v>
      </c>
      <c r="C2" s="535"/>
      <c r="D2" s="535"/>
    </row>
    <row r="3" spans="2:4" x14ac:dyDescent="0.25">
      <c r="B3" s="466"/>
    </row>
    <row r="4" spans="2:4" ht="20.399999999999999" x14ac:dyDescent="0.25">
      <c r="B4" s="468" t="s">
        <v>401</v>
      </c>
      <c r="C4" s="92" t="str">
        <f>'Dane podstawowe'!B7</f>
        <v>01.01.2016-31.12.2016</v>
      </c>
      <c r="D4" s="92" t="str">
        <f>'Dane podstawowe'!B12</f>
        <v>01.01.2015-31.12.2015</v>
      </c>
    </row>
    <row r="5" spans="2:4" ht="20.399999999999999" x14ac:dyDescent="0.25">
      <c r="B5" s="49" t="s">
        <v>402</v>
      </c>
      <c r="C5" s="258">
        <v>21400</v>
      </c>
      <c r="D5" s="258">
        <v>25800</v>
      </c>
    </row>
    <row r="6" spans="2:4" ht="30.6" x14ac:dyDescent="0.25">
      <c r="B6" s="658" t="s">
        <v>879</v>
      </c>
      <c r="C6" s="258">
        <v>21400</v>
      </c>
      <c r="D6" s="258">
        <v>14600</v>
      </c>
    </row>
    <row r="7" spans="2:4" x14ac:dyDescent="0.25">
      <c r="B7" s="658" t="s">
        <v>880</v>
      </c>
      <c r="C7" s="258">
        <v>0</v>
      </c>
      <c r="D7" s="258">
        <v>21496</v>
      </c>
    </row>
    <row r="8" spans="2:4" x14ac:dyDescent="0.25">
      <c r="B8" s="658" t="s">
        <v>881</v>
      </c>
      <c r="C8" s="258">
        <v>0</v>
      </c>
      <c r="D8" s="258">
        <v>20817</v>
      </c>
    </row>
    <row r="9" spans="2:4" x14ac:dyDescent="0.25">
      <c r="B9" s="77" t="s">
        <v>636</v>
      </c>
      <c r="C9" s="116">
        <f>SUM(C5:C8)</f>
        <v>42800</v>
      </c>
      <c r="D9" s="116">
        <f>SUM(D5:D8)</f>
        <v>82713</v>
      </c>
    </row>
  </sheetData>
  <phoneticPr fontId="32" type="noConversion"/>
  <pageMargins left="0.75" right="0.75" top="1" bottom="1" header="0.5" footer="0.5"/>
  <pageSetup paperSize="9" scale="8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>
    <tabColor theme="0"/>
  </sheetPr>
  <dimension ref="A1:I74"/>
  <sheetViews>
    <sheetView showGridLines="0" view="pageBreakPreview" topLeftCell="A61" zoomScaleNormal="100" zoomScaleSheetLayoutView="100" workbookViewId="0">
      <selection activeCell="F14" sqref="F14"/>
    </sheetView>
  </sheetViews>
  <sheetFormatPr defaultColWidth="9.109375" defaultRowHeight="13.2" x14ac:dyDescent="0.25"/>
  <cols>
    <col min="1" max="1" width="56.33203125" style="149" customWidth="1"/>
    <col min="2" max="3" width="13.88671875" style="149" customWidth="1"/>
    <col min="4" max="6" width="9.109375" style="149"/>
    <col min="7" max="16384" width="9.109375" style="45"/>
  </cols>
  <sheetData>
    <row r="1" spans="1:9" x14ac:dyDescent="0.25">
      <c r="A1" s="70"/>
      <c r="B1" s="45"/>
      <c r="C1" s="45"/>
      <c r="D1" s="45"/>
      <c r="E1" s="45"/>
      <c r="F1" s="45"/>
    </row>
    <row r="2" spans="1:9" s="3" customFormat="1" x14ac:dyDescent="0.25">
      <c r="A2" s="535" t="s">
        <v>996</v>
      </c>
      <c r="B2" s="535"/>
      <c r="C2" s="535"/>
    </row>
    <row r="3" spans="1:9" s="3" customFormat="1" ht="10.199999999999999" x14ac:dyDescent="0.2"/>
    <row r="4" spans="1:9" s="3" customFormat="1" ht="10.199999999999999" x14ac:dyDescent="0.2">
      <c r="A4" s="126" t="s">
        <v>416</v>
      </c>
      <c r="B4" s="623">
        <f>'Dane podstawowe'!$B$9</f>
        <v>42735</v>
      </c>
      <c r="C4" s="623">
        <v>42369</v>
      </c>
      <c r="G4" s="118"/>
      <c r="H4" s="118"/>
      <c r="I4" s="118"/>
    </row>
    <row r="5" spans="1:9" s="41" customFormat="1" ht="10.199999999999999" x14ac:dyDescent="0.25">
      <c r="A5" s="75" t="s">
        <v>495</v>
      </c>
      <c r="B5" s="155">
        <v>4224346.6900000004</v>
      </c>
      <c r="C5" s="155">
        <v>3590384</v>
      </c>
      <c r="D5" s="43"/>
      <c r="E5" s="43"/>
      <c r="F5" s="43"/>
      <c r="G5" s="191"/>
      <c r="H5" s="191"/>
      <c r="I5" s="191"/>
    </row>
    <row r="6" spans="1:9" s="41" customFormat="1" ht="10.199999999999999" x14ac:dyDescent="0.25">
      <c r="A6" s="83" t="s">
        <v>532</v>
      </c>
      <c r="B6" s="155"/>
      <c r="C6" s="155"/>
      <c r="D6" s="43"/>
      <c r="E6" s="43"/>
      <c r="F6" s="43"/>
      <c r="G6" s="191"/>
      <c r="H6" s="191"/>
      <c r="I6" s="191"/>
    </row>
    <row r="7" spans="1:9" s="41" customFormat="1" ht="20.399999999999999" x14ac:dyDescent="0.25">
      <c r="A7" s="83" t="s">
        <v>533</v>
      </c>
      <c r="B7" s="107"/>
      <c r="C7" s="107"/>
      <c r="D7" s="43"/>
      <c r="E7" s="43"/>
      <c r="F7" s="43"/>
      <c r="G7" s="191"/>
      <c r="H7" s="191"/>
      <c r="I7" s="191"/>
    </row>
    <row r="8" spans="1:9" s="41" customFormat="1" ht="20.399999999999999" x14ac:dyDescent="0.25">
      <c r="A8" s="75" t="s">
        <v>496</v>
      </c>
      <c r="B8" s="155">
        <f>B5+B6+B7</f>
        <v>4224346.6900000004</v>
      </c>
      <c r="C8" s="155">
        <f>C5+C6+C7</f>
        <v>3590384</v>
      </c>
      <c r="D8" s="43"/>
      <c r="E8" s="43"/>
      <c r="F8" s="43"/>
      <c r="G8" s="191"/>
      <c r="H8" s="191"/>
      <c r="I8" s="191"/>
    </row>
    <row r="9" spans="1:9" s="3" customFormat="1" ht="30" customHeight="1" x14ac:dyDescent="0.2">
      <c r="A9" s="56"/>
      <c r="B9" s="204"/>
      <c r="C9" s="204"/>
      <c r="D9" s="176"/>
      <c r="E9" s="176"/>
      <c r="F9" s="176"/>
      <c r="G9" s="118"/>
      <c r="H9" s="118"/>
      <c r="I9" s="118"/>
    </row>
    <row r="10" spans="1:9" s="3" customFormat="1" ht="10.199999999999999" x14ac:dyDescent="0.2">
      <c r="A10" s="126" t="s">
        <v>416</v>
      </c>
      <c r="B10" s="623">
        <f>'Dane podstawowe'!$B$9</f>
        <v>42735</v>
      </c>
      <c r="C10" s="623">
        <v>42369</v>
      </c>
      <c r="D10" s="56"/>
      <c r="E10" s="56"/>
      <c r="F10" s="56"/>
    </row>
    <row r="11" spans="1:9" s="3" customFormat="1" ht="10.199999999999999" x14ac:dyDescent="0.2">
      <c r="A11" s="72" t="s">
        <v>554</v>
      </c>
      <c r="B11" s="155">
        <f>B12+B13+B14</f>
        <v>845188</v>
      </c>
      <c r="C11" s="155">
        <f>C12+C13+C14</f>
        <v>547045</v>
      </c>
      <c r="D11" s="56"/>
      <c r="E11" s="56"/>
      <c r="F11" s="56"/>
    </row>
    <row r="12" spans="1:9" s="3" customFormat="1" ht="10.199999999999999" x14ac:dyDescent="0.2">
      <c r="A12" s="71" t="s">
        <v>63</v>
      </c>
      <c r="B12" s="155">
        <v>628517</v>
      </c>
      <c r="C12" s="155">
        <f>388130</f>
        <v>388130</v>
      </c>
      <c r="D12" s="56"/>
      <c r="E12" s="56"/>
      <c r="F12" s="56"/>
    </row>
    <row r="13" spans="1:9" s="3" customFormat="1" ht="10.199999999999999" x14ac:dyDescent="0.2">
      <c r="A13" s="71" t="s">
        <v>64</v>
      </c>
      <c r="B13" s="155">
        <v>216671</v>
      </c>
      <c r="C13" s="155">
        <f>158915</f>
        <v>158915</v>
      </c>
      <c r="D13" s="56"/>
      <c r="E13" s="56"/>
      <c r="F13" s="56"/>
    </row>
    <row r="14" spans="1:9" s="3" customFormat="1" ht="10.199999999999999" x14ac:dyDescent="0.2">
      <c r="A14" s="71" t="s">
        <v>65</v>
      </c>
      <c r="B14" s="155"/>
      <c r="C14" s="155"/>
      <c r="D14" s="56"/>
      <c r="E14" s="56"/>
      <c r="F14" s="56"/>
    </row>
    <row r="15" spans="1:9" s="3" customFormat="1" ht="10.199999999999999" x14ac:dyDescent="0.2">
      <c r="A15" s="71"/>
      <c r="B15" s="155"/>
      <c r="C15" s="155"/>
      <c r="D15" s="56"/>
      <c r="E15" s="56"/>
      <c r="F15" s="56"/>
    </row>
    <row r="16" spans="1:9" s="3" customFormat="1" ht="10.199999999999999" x14ac:dyDescent="0.2">
      <c r="A16" s="72" t="s">
        <v>497</v>
      </c>
      <c r="B16" s="155">
        <f>SUM(B18:B25)</f>
        <v>2172</v>
      </c>
      <c r="C16" s="155">
        <f>SUM(C17:C25)</f>
        <v>39032</v>
      </c>
      <c r="D16" s="56"/>
      <c r="E16" s="56"/>
      <c r="F16" s="56"/>
    </row>
    <row r="17" spans="1:6" s="3" customFormat="1" ht="10.199999999999999" x14ac:dyDescent="0.2">
      <c r="A17" s="71" t="s">
        <v>498</v>
      </c>
      <c r="C17" s="155"/>
      <c r="D17" s="56"/>
      <c r="E17" s="56"/>
      <c r="F17" s="56"/>
    </row>
    <row r="18" spans="1:6" s="3" customFormat="1" ht="10.199999999999999" x14ac:dyDescent="0.2">
      <c r="A18" s="71" t="s">
        <v>499</v>
      </c>
      <c r="B18" s="155"/>
      <c r="C18" s="155"/>
      <c r="D18" s="56"/>
      <c r="E18" s="56"/>
      <c r="F18" s="56"/>
    </row>
    <row r="19" spans="1:6" s="3" customFormat="1" ht="10.199999999999999" x14ac:dyDescent="0.2">
      <c r="A19" s="71" t="s">
        <v>500</v>
      </c>
      <c r="C19" s="155">
        <v>-2425</v>
      </c>
      <c r="D19" s="56"/>
      <c r="E19" s="56"/>
      <c r="F19" s="56"/>
    </row>
    <row r="20" spans="1:6" s="3" customFormat="1" ht="10.199999999999999" x14ac:dyDescent="0.2">
      <c r="A20" s="71" t="s">
        <v>882</v>
      </c>
      <c r="B20" s="155">
        <v>5451</v>
      </c>
      <c r="C20" s="155">
        <v>7607</v>
      </c>
      <c r="D20" s="56"/>
      <c r="E20" s="56"/>
      <c r="F20" s="56"/>
    </row>
    <row r="21" spans="1:6" s="3" customFormat="1" ht="10.199999999999999" x14ac:dyDescent="0.2">
      <c r="A21" s="71" t="s">
        <v>501</v>
      </c>
      <c r="B21" s="155"/>
      <c r="C21" s="155"/>
      <c r="D21" s="56"/>
      <c r="E21" s="56"/>
      <c r="F21" s="56"/>
    </row>
    <row r="22" spans="1:6" s="3" customFormat="1" ht="10.199999999999999" x14ac:dyDescent="0.2">
      <c r="A22" s="71" t="s">
        <v>883</v>
      </c>
      <c r="B22" s="155"/>
      <c r="C22" s="155">
        <v>33850</v>
      </c>
      <c r="D22" s="56"/>
      <c r="E22" s="56"/>
      <c r="F22" s="56"/>
    </row>
    <row r="23" spans="1:6" s="3" customFormat="1" ht="10.199999999999999" x14ac:dyDescent="0.2">
      <c r="A23" s="71" t="s">
        <v>502</v>
      </c>
      <c r="B23" s="155">
        <v>-3279</v>
      </c>
      <c r="C23" s="155"/>
      <c r="D23" s="56"/>
      <c r="E23" s="56"/>
      <c r="F23" s="56"/>
    </row>
    <row r="24" spans="1:6" s="3" customFormat="1" ht="10.199999999999999" x14ac:dyDescent="0.2">
      <c r="A24" s="71" t="s">
        <v>503</v>
      </c>
      <c r="B24" s="155"/>
      <c r="C24" s="155"/>
      <c r="D24" s="56"/>
      <c r="E24" s="56"/>
      <c r="F24" s="56"/>
    </row>
    <row r="25" spans="1:6" s="3" customFormat="1" ht="10.199999999999999" x14ac:dyDescent="0.2">
      <c r="A25" s="71" t="s">
        <v>838</v>
      </c>
      <c r="B25" s="155"/>
      <c r="C25" s="155"/>
      <c r="D25" s="56"/>
      <c r="E25" s="56"/>
      <c r="F25" s="56"/>
    </row>
    <row r="26" spans="1:6" s="3" customFormat="1" ht="10.199999999999999" x14ac:dyDescent="0.2">
      <c r="A26" s="72" t="s">
        <v>504</v>
      </c>
      <c r="B26" s="155">
        <f>SUM(B27:B35)</f>
        <v>1466</v>
      </c>
      <c r="C26" s="155">
        <f>SUM(C27:C35)</f>
        <v>346261.59</v>
      </c>
      <c r="D26" s="56"/>
      <c r="E26" s="56"/>
      <c r="F26" s="56"/>
    </row>
    <row r="27" spans="1:6" s="3" customFormat="1" ht="10.199999999999999" x14ac:dyDescent="0.2">
      <c r="A27" s="71" t="s">
        <v>66</v>
      </c>
      <c r="B27" s="155"/>
      <c r="C27" s="155">
        <v>0</v>
      </c>
      <c r="D27" s="56"/>
      <c r="E27" s="56"/>
      <c r="F27" s="56"/>
    </row>
    <row r="28" spans="1:6" s="3" customFormat="1" ht="10.199999999999999" x14ac:dyDescent="0.2">
      <c r="A28" s="71" t="s">
        <v>60</v>
      </c>
      <c r="B28" s="155"/>
      <c r="C28" s="155"/>
      <c r="D28" s="56"/>
      <c r="E28" s="56"/>
      <c r="F28" s="56"/>
    </row>
    <row r="29" spans="1:6" s="3" customFormat="1" ht="10.199999999999999" x14ac:dyDescent="0.2">
      <c r="A29" s="71" t="s">
        <v>61</v>
      </c>
      <c r="B29" s="155"/>
      <c r="C29" s="155"/>
      <c r="D29" s="56"/>
      <c r="E29" s="56"/>
      <c r="F29" s="56"/>
    </row>
    <row r="30" spans="1:6" s="3" customFormat="1" ht="10.199999999999999" x14ac:dyDescent="0.2">
      <c r="A30" s="71" t="s">
        <v>62</v>
      </c>
      <c r="B30" s="155"/>
      <c r="C30" s="155"/>
      <c r="D30" s="56"/>
      <c r="E30" s="56"/>
      <c r="F30" s="56"/>
    </row>
    <row r="31" spans="1:6" s="3" customFormat="1" ht="10.199999999999999" x14ac:dyDescent="0.2">
      <c r="A31" s="71" t="s">
        <v>505</v>
      </c>
      <c r="B31" s="155"/>
      <c r="C31" s="155"/>
      <c r="D31" s="56"/>
      <c r="E31" s="56"/>
      <c r="F31" s="56"/>
    </row>
    <row r="32" spans="1:6" s="3" customFormat="1" ht="10.199999999999999" x14ac:dyDescent="0.2">
      <c r="A32" s="71" t="s">
        <v>912</v>
      </c>
      <c r="B32" s="155"/>
      <c r="C32" s="155">
        <v>39542.5</v>
      </c>
      <c r="D32" s="56"/>
      <c r="E32" s="56"/>
      <c r="F32" s="56"/>
    </row>
    <row r="33" spans="1:6" s="3" customFormat="1" ht="10.199999999999999" x14ac:dyDescent="0.2">
      <c r="A33" s="71" t="s">
        <v>913</v>
      </c>
      <c r="B33" s="155">
        <v>1466</v>
      </c>
      <c r="C33" s="155"/>
      <c r="D33" s="56"/>
      <c r="E33" s="56"/>
      <c r="F33" s="56"/>
    </row>
    <row r="34" spans="1:6" s="3" customFormat="1" ht="10.199999999999999" x14ac:dyDescent="0.2">
      <c r="A34" s="71" t="s">
        <v>506</v>
      </c>
      <c r="B34" s="155"/>
      <c r="C34" s="155">
        <v>306719.09000000003</v>
      </c>
      <c r="D34" s="56"/>
      <c r="E34" s="56"/>
      <c r="F34" s="56"/>
    </row>
    <row r="35" spans="1:6" s="3" customFormat="1" ht="10.199999999999999" x14ac:dyDescent="0.2">
      <c r="A35" s="71"/>
      <c r="B35" s="155"/>
      <c r="C35" s="155"/>
      <c r="D35" s="56"/>
      <c r="E35" s="56"/>
      <c r="F35" s="56"/>
    </row>
    <row r="36" spans="1:6" s="3" customFormat="1" ht="10.199999999999999" x14ac:dyDescent="0.2">
      <c r="A36" s="72" t="s">
        <v>108</v>
      </c>
      <c r="B36" s="155">
        <f>SUM(B37:B42)</f>
        <v>660698</v>
      </c>
      <c r="C36" s="155">
        <f>SUM(C37:C42)</f>
        <v>18956</v>
      </c>
      <c r="D36" s="56"/>
      <c r="E36" s="56"/>
      <c r="F36" s="56"/>
    </row>
    <row r="37" spans="1:6" s="3" customFormat="1" ht="10.199999999999999" x14ac:dyDescent="0.2">
      <c r="A37" s="71" t="s">
        <v>555</v>
      </c>
      <c r="B37" s="155">
        <v>212265</v>
      </c>
      <c r="C37" s="155">
        <v>-39920</v>
      </c>
      <c r="D37" s="56"/>
      <c r="E37" s="56"/>
      <c r="F37" s="56"/>
    </row>
    <row r="38" spans="1:6" s="3" customFormat="1" ht="10.199999999999999" x14ac:dyDescent="0.2">
      <c r="A38" s="71" t="s">
        <v>70</v>
      </c>
      <c r="B38" s="155">
        <v>46760</v>
      </c>
      <c r="C38" s="155">
        <v>58876</v>
      </c>
      <c r="D38" s="56"/>
      <c r="E38" s="56"/>
      <c r="F38" s="56"/>
    </row>
    <row r="39" spans="1:6" s="3" customFormat="1" ht="10.199999999999999" x14ac:dyDescent="0.2">
      <c r="A39" s="71" t="s">
        <v>914</v>
      </c>
      <c r="B39" s="155">
        <v>401673</v>
      </c>
      <c r="C39" s="155"/>
      <c r="D39" s="56"/>
      <c r="E39" s="56"/>
      <c r="F39" s="56"/>
    </row>
    <row r="40" spans="1:6" s="3" customFormat="1" ht="20.399999999999999" x14ac:dyDescent="0.2">
      <c r="A40" s="71" t="s">
        <v>71</v>
      </c>
      <c r="B40" s="155"/>
      <c r="C40" s="155"/>
      <c r="D40" s="56"/>
      <c r="E40" s="56"/>
      <c r="F40" s="56"/>
    </row>
    <row r="41" spans="1:6" s="3" customFormat="1" ht="20.399999999999999" x14ac:dyDescent="0.2">
      <c r="A41" s="71" t="s">
        <v>72</v>
      </c>
      <c r="B41" s="155"/>
      <c r="C41" s="155"/>
      <c r="D41" s="56"/>
      <c r="E41" s="56"/>
      <c r="F41" s="56"/>
    </row>
    <row r="42" spans="1:6" s="3" customFormat="1" ht="10.199999999999999" x14ac:dyDescent="0.2">
      <c r="A42" s="72"/>
      <c r="B42" s="155"/>
      <c r="C42" s="155"/>
      <c r="D42" s="56"/>
      <c r="E42" s="56"/>
      <c r="F42" s="56"/>
    </row>
    <row r="43" spans="1:6" s="3" customFormat="1" ht="10.199999999999999" x14ac:dyDescent="0.2">
      <c r="A43" s="72" t="s">
        <v>109</v>
      </c>
      <c r="B43" s="155">
        <f>SUM(B44:B47)</f>
        <v>0</v>
      </c>
      <c r="C43" s="155">
        <f>SUM(C44:C47)</f>
        <v>0</v>
      </c>
      <c r="D43" s="56"/>
      <c r="E43" s="56"/>
      <c r="F43" s="56"/>
    </row>
    <row r="44" spans="1:6" s="3" customFormat="1" ht="10.199999999999999" x14ac:dyDescent="0.2">
      <c r="A44" s="71" t="s">
        <v>67</v>
      </c>
      <c r="B44" s="155"/>
      <c r="C44" s="155">
        <f>RPP!D13</f>
        <v>0</v>
      </c>
      <c r="D44" s="149"/>
      <c r="E44" s="149"/>
      <c r="F44" s="149"/>
    </row>
    <row r="45" spans="1:6" s="3" customFormat="1" ht="20.399999999999999" x14ac:dyDescent="0.2">
      <c r="A45" s="71" t="s">
        <v>68</v>
      </c>
      <c r="B45" s="155"/>
      <c r="C45" s="155"/>
      <c r="D45" s="149"/>
      <c r="E45" s="149"/>
      <c r="F45" s="149"/>
    </row>
    <row r="46" spans="1:6" s="3" customFormat="1" ht="20.399999999999999" x14ac:dyDescent="0.2">
      <c r="A46" s="71" t="s">
        <v>69</v>
      </c>
      <c r="B46" s="155"/>
      <c r="C46" s="155"/>
      <c r="D46" s="149"/>
      <c r="E46" s="149"/>
      <c r="F46" s="149"/>
    </row>
    <row r="47" spans="1:6" s="3" customFormat="1" ht="10.199999999999999" x14ac:dyDescent="0.2">
      <c r="A47" s="71"/>
      <c r="B47" s="155"/>
      <c r="C47" s="155"/>
      <c r="D47" s="149"/>
      <c r="E47" s="149"/>
      <c r="F47" s="149"/>
    </row>
    <row r="48" spans="1:6" s="3" customFormat="1" ht="10.199999999999999" x14ac:dyDescent="0.2">
      <c r="A48" s="72" t="s">
        <v>507</v>
      </c>
      <c r="B48" s="155">
        <f>SUM(B49:B57)</f>
        <v>-1836541</v>
      </c>
      <c r="C48" s="155">
        <f>SUM(C49:C57)</f>
        <v>-3398333</v>
      </c>
      <c r="D48" s="149"/>
      <c r="E48" s="149"/>
      <c r="F48" s="149"/>
    </row>
    <row r="49" spans="1:6" s="3" customFormat="1" ht="10.199999999999999" x14ac:dyDescent="0.2">
      <c r="A49" s="71" t="s">
        <v>508</v>
      </c>
      <c r="B49" s="155">
        <f>-2313638+474963</f>
        <v>-1838675</v>
      </c>
      <c r="C49" s="155">
        <f>-2897191-474964</f>
        <v>-3372155</v>
      </c>
      <c r="D49" s="149"/>
      <c r="E49" s="149"/>
      <c r="F49" s="149"/>
    </row>
    <row r="50" spans="1:6" s="3" customFormat="1" ht="10.199999999999999" x14ac:dyDescent="0.2">
      <c r="A50" s="71" t="s">
        <v>509</v>
      </c>
      <c r="B50" s="155">
        <v>2134</v>
      </c>
      <c r="C50" s="155">
        <v>-26178</v>
      </c>
      <c r="D50" s="149"/>
      <c r="E50" s="149"/>
      <c r="F50" s="149"/>
    </row>
    <row r="51" spans="1:6" s="3" customFormat="1" ht="10.199999999999999" x14ac:dyDescent="0.2">
      <c r="A51" s="71" t="s">
        <v>510</v>
      </c>
      <c r="B51" s="155"/>
      <c r="C51" s="155"/>
      <c r="D51" s="149"/>
      <c r="E51" s="149"/>
      <c r="F51" s="149"/>
    </row>
    <row r="52" spans="1:6" s="3" customFormat="1" ht="10.199999999999999" x14ac:dyDescent="0.2">
      <c r="A52" s="71" t="s">
        <v>511</v>
      </c>
      <c r="B52" s="155"/>
      <c r="C52" s="155"/>
      <c r="D52" s="149"/>
      <c r="E52" s="149"/>
      <c r="F52" s="149"/>
    </row>
    <row r="53" spans="1:6" s="3" customFormat="1" ht="10.199999999999999" x14ac:dyDescent="0.2">
      <c r="A53" s="71" t="s">
        <v>512</v>
      </c>
      <c r="B53" s="155"/>
      <c r="C53" s="155"/>
      <c r="D53" s="149"/>
      <c r="E53" s="149"/>
      <c r="F53" s="149"/>
    </row>
    <row r="54" spans="1:6" s="3" customFormat="1" ht="10.199999999999999" x14ac:dyDescent="0.2">
      <c r="A54" s="71" t="s">
        <v>513</v>
      </c>
      <c r="B54" s="155"/>
      <c r="C54" s="155"/>
      <c r="D54" s="149"/>
      <c r="E54" s="149"/>
      <c r="F54" s="149"/>
    </row>
    <row r="55" spans="1:6" s="3" customFormat="1" ht="20.399999999999999" x14ac:dyDescent="0.2">
      <c r="A55" s="71" t="s">
        <v>73</v>
      </c>
      <c r="B55" s="107"/>
      <c r="C55" s="107"/>
      <c r="D55" s="149"/>
      <c r="E55" s="149"/>
      <c r="F55" s="149"/>
    </row>
    <row r="56" spans="1:6" ht="20.399999999999999" x14ac:dyDescent="0.25">
      <c r="A56" s="71" t="s">
        <v>74</v>
      </c>
      <c r="B56" s="155"/>
      <c r="C56" s="155"/>
    </row>
    <row r="57" spans="1:6" x14ac:dyDescent="0.25">
      <c r="A57" s="71"/>
      <c r="B57" s="155"/>
      <c r="C57" s="155"/>
    </row>
    <row r="58" spans="1:6" ht="20.399999999999999" x14ac:dyDescent="0.25">
      <c r="A58" s="72" t="s">
        <v>556</v>
      </c>
      <c r="B58" s="155">
        <f>SUM(B59:B67)</f>
        <v>120437</v>
      </c>
      <c r="C58" s="155">
        <f>SUM(C59:C67)</f>
        <v>1898559</v>
      </c>
    </row>
    <row r="59" spans="1:6" x14ac:dyDescent="0.25">
      <c r="A59" s="71" t="s">
        <v>514</v>
      </c>
      <c r="B59" s="155">
        <v>151580</v>
      </c>
      <c r="C59" s="155">
        <v>1910313</v>
      </c>
    </row>
    <row r="60" spans="1:6" x14ac:dyDescent="0.25">
      <c r="A60" s="71" t="s">
        <v>515</v>
      </c>
      <c r="B60" s="155">
        <v>-31143</v>
      </c>
      <c r="C60" s="155">
        <v>-11754</v>
      </c>
    </row>
    <row r="61" spans="1:6" x14ac:dyDescent="0.25">
      <c r="A61" s="71" t="s">
        <v>516</v>
      </c>
      <c r="B61" s="155"/>
      <c r="C61" s="155"/>
    </row>
    <row r="62" spans="1:6" x14ac:dyDescent="0.25">
      <c r="A62" s="71" t="s">
        <v>517</v>
      </c>
      <c r="B62" s="155"/>
      <c r="C62" s="155"/>
    </row>
    <row r="63" spans="1:6" x14ac:dyDescent="0.25">
      <c r="A63" s="71" t="s">
        <v>518</v>
      </c>
      <c r="B63" s="155"/>
      <c r="C63" s="155"/>
    </row>
    <row r="64" spans="1:6" x14ac:dyDescent="0.25">
      <c r="A64" s="71" t="s">
        <v>519</v>
      </c>
      <c r="B64" s="155"/>
      <c r="C64" s="155"/>
    </row>
    <row r="65" spans="1:6" ht="20.399999999999999" x14ac:dyDescent="0.25">
      <c r="A65" s="71" t="s">
        <v>483</v>
      </c>
      <c r="B65" s="155"/>
      <c r="C65" s="155"/>
    </row>
    <row r="66" spans="1:6" ht="20.399999999999999" x14ac:dyDescent="0.25">
      <c r="A66" s="71" t="s">
        <v>557</v>
      </c>
      <c r="B66" s="155"/>
      <c r="C66" s="155"/>
    </row>
    <row r="67" spans="1:6" x14ac:dyDescent="0.25">
      <c r="A67" s="71"/>
      <c r="B67" s="155"/>
      <c r="C67" s="155"/>
    </row>
    <row r="68" spans="1:6" x14ac:dyDescent="0.25">
      <c r="A68" s="72" t="s">
        <v>520</v>
      </c>
      <c r="B68" s="155">
        <f>SUM(B69:B74)</f>
        <v>-549012</v>
      </c>
      <c r="C68" s="155">
        <f>SUM(C69:C74)</f>
        <v>308277</v>
      </c>
    </row>
    <row r="69" spans="1:6" x14ac:dyDescent="0.25">
      <c r="A69" s="71" t="s">
        <v>839</v>
      </c>
      <c r="B69" s="155"/>
      <c r="C69" s="155"/>
    </row>
    <row r="70" spans="1:6" x14ac:dyDescent="0.25">
      <c r="A70" s="71" t="s">
        <v>841</v>
      </c>
      <c r="B70" s="155"/>
      <c r="C70" s="155"/>
    </row>
    <row r="71" spans="1:6" x14ac:dyDescent="0.25">
      <c r="A71" s="71" t="s">
        <v>840</v>
      </c>
      <c r="B71" s="155">
        <v>-1013094</v>
      </c>
      <c r="C71" s="155">
        <v>539084</v>
      </c>
    </row>
    <row r="72" spans="1:6" x14ac:dyDescent="0.25">
      <c r="A72" s="71" t="s">
        <v>915</v>
      </c>
      <c r="B72" s="155">
        <v>245829</v>
      </c>
      <c r="C72" s="155">
        <v>0</v>
      </c>
      <c r="D72" s="644"/>
      <c r="E72" s="644"/>
      <c r="F72" s="644"/>
    </row>
    <row r="73" spans="1:6" x14ac:dyDescent="0.25">
      <c r="A73" s="71" t="s">
        <v>660</v>
      </c>
      <c r="B73" s="155">
        <v>218253</v>
      </c>
      <c r="C73" s="155">
        <v>-230807</v>
      </c>
    </row>
    <row r="74" spans="1:6" x14ac:dyDescent="0.25">
      <c r="A74" s="71"/>
      <c r="B74" s="155"/>
      <c r="C74" s="155"/>
    </row>
  </sheetData>
  <phoneticPr fontId="29" type="noConversion"/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B1:G21"/>
  <sheetViews>
    <sheetView view="pageBreakPreview" zoomScaleNormal="100" workbookViewId="0">
      <selection activeCell="G14" sqref="G14"/>
    </sheetView>
  </sheetViews>
  <sheetFormatPr defaultColWidth="9.109375" defaultRowHeight="10.199999999999999" x14ac:dyDescent="0.2"/>
  <cols>
    <col min="1" max="1" width="3.5546875" style="463" customWidth="1"/>
    <col min="2" max="2" width="59" style="463" customWidth="1"/>
    <col min="3" max="3" width="0" style="463" hidden="1" customWidth="1"/>
    <col min="4" max="5" width="26" style="463" customWidth="1"/>
    <col min="6" max="16384" width="9.109375" style="463"/>
  </cols>
  <sheetData>
    <row r="1" spans="2:7" s="459" customFormat="1" ht="25.5" customHeight="1" x14ac:dyDescent="0.2">
      <c r="B1" s="223"/>
      <c r="C1" s="223"/>
      <c r="D1" s="223"/>
    </row>
    <row r="2" spans="2:7" s="460" customFormat="1" x14ac:dyDescent="0.25">
      <c r="B2" s="238"/>
      <c r="C2" s="238" t="s">
        <v>388</v>
      </c>
      <c r="D2" s="238" t="str">
        <f>CONCATENATE("za okres ",'Dane podstawowe'!$B$7)</f>
        <v>za okres 01.01.2016-31.12.2016</v>
      </c>
      <c r="E2" s="238" t="str">
        <f>CONCATENATE("za okres ",'Dane podstawowe'!$B$12)</f>
        <v>za okres 01.01.2015-31.12.2015</v>
      </c>
    </row>
    <row r="3" spans="2:7" s="461" customFormat="1" x14ac:dyDescent="0.25">
      <c r="B3" s="242" t="s">
        <v>153</v>
      </c>
      <c r="C3" s="363"/>
      <c r="D3" s="369">
        <f>RZiS!D31</f>
        <v>3978657.2199999997</v>
      </c>
      <c r="E3" s="369">
        <f>RZiS!E31</f>
        <v>4049562</v>
      </c>
    </row>
    <row r="4" spans="2:7" s="543" customFormat="1" ht="13.8" x14ac:dyDescent="0.25">
      <c r="B4" s="544" t="s">
        <v>717</v>
      </c>
      <c r="C4" s="369"/>
      <c r="D4" s="369">
        <f>SUM(D5:D12)</f>
        <v>-186016</v>
      </c>
      <c r="E4" s="369">
        <f>SUM(E5:E12)</f>
        <v>5442</v>
      </c>
      <c r="F4" s="545"/>
      <c r="G4" s="545"/>
    </row>
    <row r="5" spans="2:7" s="40" customFormat="1" ht="13.8" x14ac:dyDescent="0.25">
      <c r="B5" s="501" t="s">
        <v>718</v>
      </c>
      <c r="C5" s="369"/>
      <c r="D5" s="369"/>
      <c r="E5" s="369"/>
      <c r="F5" s="545"/>
      <c r="G5" s="545"/>
    </row>
    <row r="6" spans="2:7" s="40" customFormat="1" ht="13.8" x14ac:dyDescent="0.25">
      <c r="B6" s="501" t="s">
        <v>719</v>
      </c>
      <c r="C6" s="369"/>
      <c r="D6" s="369"/>
      <c r="E6" s="369"/>
      <c r="F6" s="545"/>
      <c r="G6" s="545"/>
    </row>
    <row r="7" spans="2:7" s="546" customFormat="1" ht="20.399999999999999" x14ac:dyDescent="0.25">
      <c r="B7" s="501" t="s">
        <v>720</v>
      </c>
      <c r="C7" s="547"/>
      <c r="D7" s="547"/>
      <c r="E7" s="547"/>
      <c r="F7" s="545"/>
      <c r="G7" s="545"/>
    </row>
    <row r="8" spans="2:7" s="546" customFormat="1" ht="13.2" x14ac:dyDescent="0.25">
      <c r="B8" s="501" t="s">
        <v>721</v>
      </c>
      <c r="C8" s="369"/>
      <c r="D8" s="369"/>
      <c r="E8" s="369"/>
      <c r="F8" s="545"/>
      <c r="G8" s="545"/>
    </row>
    <row r="9" spans="2:7" s="546" customFormat="1" ht="20.399999999999999" x14ac:dyDescent="0.25">
      <c r="B9" s="501" t="s">
        <v>722</v>
      </c>
      <c r="C9" s="369"/>
      <c r="D9" s="369">
        <v>-229649</v>
      </c>
      <c r="E9" s="369">
        <v>6719</v>
      </c>
      <c r="F9" s="545"/>
      <c r="G9" s="545"/>
    </row>
    <row r="10" spans="2:7" s="40" customFormat="1" ht="20.399999999999999" x14ac:dyDescent="0.25">
      <c r="B10" s="501" t="s">
        <v>723</v>
      </c>
      <c r="C10" s="369"/>
      <c r="D10" s="369"/>
      <c r="E10" s="369"/>
      <c r="F10" s="545"/>
      <c r="G10" s="545"/>
    </row>
    <row r="11" spans="2:7" s="40" customFormat="1" ht="20.399999999999999" x14ac:dyDescent="0.25">
      <c r="B11" s="501" t="s">
        <v>724</v>
      </c>
      <c r="C11" s="369"/>
      <c r="D11" s="369"/>
      <c r="E11" s="369"/>
      <c r="F11" s="545"/>
      <c r="G11" s="545"/>
    </row>
    <row r="12" spans="2:7" s="546" customFormat="1" ht="13.2" x14ac:dyDescent="0.25">
      <c r="B12" s="501" t="s">
        <v>389</v>
      </c>
      <c r="C12" s="370"/>
      <c r="D12" s="370">
        <v>43633</v>
      </c>
      <c r="E12" s="370">
        <v>-1277</v>
      </c>
      <c r="F12" s="545"/>
      <c r="G12" s="545"/>
    </row>
    <row r="13" spans="2:7" s="40" customFormat="1" ht="20.399999999999999" x14ac:dyDescent="0.25">
      <c r="B13" s="544" t="s">
        <v>725</v>
      </c>
      <c r="C13" s="370"/>
      <c r="D13" s="369">
        <f>SUM(D14:D16)</f>
        <v>0</v>
      </c>
      <c r="E13" s="369">
        <f>SUM(E14:E16)</f>
        <v>0</v>
      </c>
    </row>
    <row r="14" spans="2:7" s="548" customFormat="1" ht="13.2" x14ac:dyDescent="0.25">
      <c r="B14" s="501" t="s">
        <v>726</v>
      </c>
      <c r="C14" s="370"/>
      <c r="D14" s="370"/>
      <c r="E14" s="370"/>
    </row>
    <row r="15" spans="2:7" s="22" customFormat="1" ht="16.5" customHeight="1" x14ac:dyDescent="0.2">
      <c r="B15" s="501" t="s">
        <v>727</v>
      </c>
      <c r="C15" s="370"/>
      <c r="D15" s="370"/>
      <c r="E15" s="370"/>
    </row>
    <row r="16" spans="2:7" s="22" customFormat="1" ht="16.5" customHeight="1" x14ac:dyDescent="0.2">
      <c r="B16" s="501" t="s">
        <v>389</v>
      </c>
      <c r="C16" s="370"/>
      <c r="D16" s="370"/>
      <c r="E16" s="370"/>
    </row>
    <row r="17" spans="2:5" s="464" customFormat="1" x14ac:dyDescent="0.2">
      <c r="B17" s="500" t="s">
        <v>390</v>
      </c>
      <c r="C17" s="363"/>
      <c r="D17" s="549">
        <f>D3+D4+D13</f>
        <v>3792641.2199999997</v>
      </c>
      <c r="E17" s="549">
        <f>E3+E4+E13</f>
        <v>4055004</v>
      </c>
    </row>
    <row r="18" spans="2:5" x14ac:dyDescent="0.2">
      <c r="B18" s="60" t="s">
        <v>669</v>
      </c>
      <c r="C18" s="462"/>
      <c r="D18" s="550"/>
      <c r="E18" s="550"/>
    </row>
    <row r="19" spans="2:5" s="465" customFormat="1" x14ac:dyDescent="0.2">
      <c r="B19" s="59" t="s">
        <v>391</v>
      </c>
      <c r="C19" s="52"/>
      <c r="D19" s="551">
        <f>D17-D18</f>
        <v>3792641.2199999997</v>
      </c>
      <c r="E19" s="551">
        <f>E17-E18</f>
        <v>4055004</v>
      </c>
    </row>
    <row r="20" spans="2:5" ht="16.5" customHeight="1" x14ac:dyDescent="0.2">
      <c r="B20" s="237"/>
      <c r="C20" s="237"/>
      <c r="D20" s="235"/>
      <c r="E20" s="235"/>
    </row>
    <row r="21" spans="2:5" ht="16.5" customHeight="1" x14ac:dyDescent="0.2">
      <c r="B21" s="237"/>
      <c r="C21" s="237"/>
      <c r="D21" s="235"/>
      <c r="E21" s="235"/>
    </row>
  </sheetData>
  <phoneticPr fontId="32" type="noConversion"/>
  <pageMargins left="0.75" right="0.75" top="1" bottom="1" header="0.5" footer="0.5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indexed="39"/>
    <pageSetUpPr fitToPage="1"/>
  </sheetPr>
  <dimension ref="B1:I36"/>
  <sheetViews>
    <sheetView showGridLines="0" view="pageBreakPreview" zoomScaleNormal="75" zoomScaleSheetLayoutView="80" workbookViewId="0">
      <selection activeCell="I25" sqref="I25"/>
    </sheetView>
  </sheetViews>
  <sheetFormatPr defaultColWidth="9.109375" defaultRowHeight="13.2" x14ac:dyDescent="0.25"/>
  <cols>
    <col min="1" max="1" width="3.44140625" style="15" customWidth="1"/>
    <col min="2" max="2" width="59" style="15" customWidth="1"/>
    <col min="3" max="3" width="9.109375" style="15"/>
    <col min="4" max="4" width="16.88671875" style="15" bestFit="1" customWidth="1"/>
    <col min="5" max="5" width="15.88671875" style="15" bestFit="1" customWidth="1"/>
    <col min="6" max="16384" width="9.109375" style="15"/>
  </cols>
  <sheetData>
    <row r="1" spans="2:9" ht="17.399999999999999" x14ac:dyDescent="0.25">
      <c r="B1" s="746"/>
      <c r="C1" s="746"/>
      <c r="D1" s="746"/>
      <c r="E1" s="746"/>
    </row>
    <row r="2" spans="2:9" s="16" customFormat="1" x14ac:dyDescent="0.25">
      <c r="B2" s="238" t="s">
        <v>371</v>
      </c>
      <c r="C2" s="246" t="s">
        <v>423</v>
      </c>
      <c r="D2" s="725" t="s">
        <v>965</v>
      </c>
      <c r="E2" s="622">
        <v>42369</v>
      </c>
      <c r="F2" s="19"/>
      <c r="G2" s="19"/>
      <c r="H2" s="19"/>
      <c r="I2" s="19"/>
    </row>
    <row r="3" spans="2:9" s="44" customFormat="1" ht="13.8" x14ac:dyDescent="0.25">
      <c r="B3" s="239" t="s">
        <v>626</v>
      </c>
      <c r="C3" s="240"/>
      <c r="D3" s="365">
        <f>SUM(D4:D14)</f>
        <v>13530322</v>
      </c>
      <c r="E3" s="365">
        <f>SUM(E4:E14)</f>
        <v>11967559</v>
      </c>
      <c r="F3" s="19"/>
      <c r="G3" s="19"/>
      <c r="H3" s="19"/>
      <c r="I3" s="19"/>
    </row>
    <row r="4" spans="2:9" s="18" customFormat="1" ht="13.8" x14ac:dyDescent="0.25">
      <c r="B4" s="227" t="s">
        <v>58</v>
      </c>
      <c r="C4" s="240" t="s">
        <v>843</v>
      </c>
      <c r="D4" s="368">
        <v>854602</v>
      </c>
      <c r="E4" s="368">
        <v>792237</v>
      </c>
    </row>
    <row r="5" spans="2:9" s="19" customFormat="1" x14ac:dyDescent="0.25">
      <c r="B5" s="227" t="s">
        <v>128</v>
      </c>
      <c r="C5" s="240" t="s">
        <v>844</v>
      </c>
      <c r="D5" s="366">
        <v>11882729</v>
      </c>
      <c r="E5" s="366">
        <v>10246405</v>
      </c>
    </row>
    <row r="6" spans="2:9" s="19" customFormat="1" x14ac:dyDescent="0.25">
      <c r="B6" s="227" t="s">
        <v>659</v>
      </c>
      <c r="C6" s="240" t="s">
        <v>845</v>
      </c>
      <c r="D6" s="366">
        <v>214909</v>
      </c>
      <c r="E6" s="366">
        <f>432345-21555</f>
        <v>410790</v>
      </c>
    </row>
    <row r="7" spans="2:9" s="19" customFormat="1" x14ac:dyDescent="0.25">
      <c r="B7" s="227" t="s">
        <v>144</v>
      </c>
      <c r="C7" s="240"/>
      <c r="D7" s="366"/>
      <c r="E7" s="366"/>
    </row>
    <row r="8" spans="2:9" s="19" customFormat="1" x14ac:dyDescent="0.2">
      <c r="B8" s="494" t="s">
        <v>268</v>
      </c>
      <c r="C8" s="240" t="s">
        <v>846</v>
      </c>
      <c r="D8" s="366"/>
      <c r="E8" s="366"/>
    </row>
    <row r="9" spans="2:9" s="19" customFormat="1" x14ac:dyDescent="0.25">
      <c r="B9" s="227" t="s">
        <v>392</v>
      </c>
      <c r="C9" s="240" t="s">
        <v>729</v>
      </c>
      <c r="D9" s="366">
        <v>110075</v>
      </c>
      <c r="E9" s="366">
        <v>110075</v>
      </c>
    </row>
    <row r="10" spans="2:9" s="19" customFormat="1" x14ac:dyDescent="0.25">
      <c r="B10" s="227" t="s">
        <v>129</v>
      </c>
      <c r="C10" s="240"/>
      <c r="D10" s="366"/>
      <c r="E10" s="366"/>
    </row>
    <row r="11" spans="2:9" s="18" customFormat="1" ht="13.8" x14ac:dyDescent="0.25">
      <c r="B11" s="227" t="s">
        <v>130</v>
      </c>
      <c r="C11" s="240"/>
      <c r="D11" s="368"/>
      <c r="E11" s="368"/>
    </row>
    <row r="12" spans="2:9" s="18" customFormat="1" ht="13.8" x14ac:dyDescent="0.25">
      <c r="B12" s="501" t="s">
        <v>635</v>
      </c>
      <c r="C12" s="240"/>
      <c r="D12" s="368">
        <v>70059</v>
      </c>
      <c r="E12" s="368">
        <v>72192</v>
      </c>
    </row>
    <row r="13" spans="2:9" s="19" customFormat="1" x14ac:dyDescent="0.25">
      <c r="B13" s="227" t="s">
        <v>426</v>
      </c>
      <c r="C13" s="240">
        <v>6</v>
      </c>
      <c r="D13" s="366">
        <v>397948</v>
      </c>
      <c r="E13" s="366">
        <v>335860</v>
      </c>
    </row>
    <row r="14" spans="2:9" s="19" customFormat="1" x14ac:dyDescent="0.25">
      <c r="B14" s="227" t="s">
        <v>131</v>
      </c>
      <c r="C14" s="240"/>
      <c r="D14" s="366"/>
      <c r="E14" s="366"/>
    </row>
    <row r="15" spans="2:9" s="19" customFormat="1" x14ac:dyDescent="0.25">
      <c r="B15" s="239" t="s">
        <v>627</v>
      </c>
      <c r="C15" s="240"/>
      <c r="D15" s="365">
        <f>SUM(D16:D25)</f>
        <v>16092450.890000001</v>
      </c>
      <c r="E15" s="365">
        <f>SUM(E16:E25)</f>
        <v>13455224</v>
      </c>
    </row>
    <row r="16" spans="2:9" s="17" customFormat="1" ht="13.8" x14ac:dyDescent="0.25">
      <c r="B16" s="227" t="s">
        <v>615</v>
      </c>
      <c r="C16" s="240"/>
      <c r="D16" s="368"/>
      <c r="E16" s="368"/>
    </row>
    <row r="17" spans="2:9" s="19" customFormat="1" x14ac:dyDescent="0.25">
      <c r="B17" s="227" t="s">
        <v>427</v>
      </c>
      <c r="C17" s="240" t="s">
        <v>730</v>
      </c>
      <c r="D17" s="366">
        <v>9726311.8900000006</v>
      </c>
      <c r="E17" s="366">
        <v>8514630</v>
      </c>
    </row>
    <row r="18" spans="2:9" s="19" customFormat="1" x14ac:dyDescent="0.2">
      <c r="B18" s="418" t="s">
        <v>536</v>
      </c>
      <c r="C18" s="240"/>
      <c r="D18" s="366">
        <v>184943</v>
      </c>
      <c r="E18" s="366">
        <v>68866</v>
      </c>
    </row>
    <row r="19" spans="2:9" s="19" customFormat="1" x14ac:dyDescent="0.25">
      <c r="B19" s="227" t="s">
        <v>132</v>
      </c>
      <c r="C19" s="240" t="s">
        <v>731</v>
      </c>
      <c r="D19" s="547">
        <v>1275661</v>
      </c>
      <c r="E19" s="547">
        <v>764745</v>
      </c>
    </row>
    <row r="20" spans="2:9" s="19" customFormat="1" x14ac:dyDescent="0.25">
      <c r="B20" s="227" t="s">
        <v>424</v>
      </c>
      <c r="C20" s="240"/>
      <c r="D20" s="366"/>
      <c r="E20" s="366"/>
    </row>
    <row r="21" spans="2:9" s="17" customFormat="1" ht="13.8" x14ac:dyDescent="0.25">
      <c r="B21" s="227" t="s">
        <v>428</v>
      </c>
      <c r="C21" s="240"/>
      <c r="D21" s="368"/>
      <c r="E21" s="368"/>
    </row>
    <row r="22" spans="2:9" s="17" customFormat="1" ht="13.8" x14ac:dyDescent="0.25">
      <c r="B22" s="501" t="s">
        <v>747</v>
      </c>
      <c r="C22" s="240" t="s">
        <v>947</v>
      </c>
      <c r="D22" s="368">
        <v>44422</v>
      </c>
      <c r="E22" s="368">
        <v>39165</v>
      </c>
    </row>
    <row r="23" spans="2:9" s="19" customFormat="1" x14ac:dyDescent="0.25">
      <c r="B23" s="227" t="s">
        <v>130</v>
      </c>
      <c r="C23" s="240"/>
      <c r="D23" s="366"/>
      <c r="E23" s="366"/>
    </row>
    <row r="24" spans="2:9" s="19" customFormat="1" x14ac:dyDescent="0.25">
      <c r="B24" s="227" t="s">
        <v>425</v>
      </c>
      <c r="C24" s="240" t="s">
        <v>732</v>
      </c>
      <c r="D24" s="366">
        <v>636766</v>
      </c>
      <c r="E24" s="366">
        <v>477434</v>
      </c>
    </row>
    <row r="25" spans="2:9" s="19" customFormat="1" x14ac:dyDescent="0.25">
      <c r="B25" s="227" t="s">
        <v>429</v>
      </c>
      <c r="C25" s="240" t="s">
        <v>733</v>
      </c>
      <c r="D25" s="366">
        <v>4224347</v>
      </c>
      <c r="E25" s="366">
        <v>3590384</v>
      </c>
    </row>
    <row r="26" spans="2:9" s="362" customFormat="1" x14ac:dyDescent="0.2">
      <c r="B26" s="67" t="s">
        <v>370</v>
      </c>
      <c r="C26" s="240"/>
      <c r="D26" s="370"/>
      <c r="E26" s="370"/>
    </row>
    <row r="27" spans="2:9" s="16" customFormat="1" x14ac:dyDescent="0.25">
      <c r="B27" s="239" t="s">
        <v>430</v>
      </c>
      <c r="C27" s="240"/>
      <c r="D27" s="365">
        <f>SUM(D3,D15,D26)</f>
        <v>29622772.890000001</v>
      </c>
      <c r="E27" s="365">
        <f>SUM(E3,E15,E26)</f>
        <v>25422783</v>
      </c>
      <c r="F27" s="19"/>
      <c r="G27" s="19"/>
      <c r="H27" s="19"/>
      <c r="I27" s="19"/>
    </row>
    <row r="28" spans="2:9" s="22" customFormat="1" x14ac:dyDescent="0.25">
      <c r="B28" s="20"/>
      <c r="C28" s="25"/>
      <c r="D28" s="24"/>
      <c r="E28" s="21"/>
    </row>
    <row r="29" spans="2:9" s="22" customFormat="1" x14ac:dyDescent="0.25">
      <c r="B29" s="20"/>
      <c r="C29" s="25"/>
      <c r="D29" s="26"/>
      <c r="E29" s="21"/>
    </row>
    <row r="30" spans="2:9" s="22" customFormat="1" x14ac:dyDescent="0.25">
      <c r="B30" s="20"/>
      <c r="C30" s="25"/>
      <c r="D30" s="21"/>
      <c r="E30" s="21"/>
    </row>
    <row r="31" spans="2:9" s="22" customFormat="1" x14ac:dyDescent="0.25">
      <c r="B31" s="20"/>
      <c r="C31" s="25"/>
      <c r="D31" s="21"/>
      <c r="E31" s="21"/>
    </row>
    <row r="32" spans="2:9" s="22" customFormat="1" ht="13.8" x14ac:dyDescent="0.25">
      <c r="B32" s="28"/>
      <c r="C32" s="27"/>
      <c r="D32" s="21"/>
      <c r="E32" s="21"/>
    </row>
    <row r="33" spans="2:5" s="22" customFormat="1" x14ac:dyDescent="0.25">
      <c r="B33" s="20"/>
      <c r="C33" s="25"/>
      <c r="D33" s="21"/>
      <c r="E33" s="21"/>
    </row>
    <row r="34" spans="2:5" s="22" customFormat="1" ht="13.8" x14ac:dyDescent="0.25">
      <c r="B34" s="28"/>
      <c r="C34" s="27"/>
      <c r="D34" s="21"/>
      <c r="E34" s="21"/>
    </row>
    <row r="35" spans="2:5" s="22" customFormat="1" x14ac:dyDescent="0.25">
      <c r="B35" s="30"/>
      <c r="C35" s="210"/>
      <c r="D35" s="21"/>
      <c r="E35" s="21"/>
    </row>
    <row r="36" spans="2:5" s="22" customFormat="1" x14ac:dyDescent="0.25">
      <c r="B36" s="30"/>
      <c r="C36" s="210"/>
      <c r="D36" s="21"/>
      <c r="E36" s="21"/>
    </row>
  </sheetData>
  <mergeCells count="1">
    <mergeCell ref="B1:E1"/>
  </mergeCells>
  <phoneticPr fontId="2" type="noConversion"/>
  <pageMargins left="0.75" right="0.75" top="1" bottom="1" header="0.5" footer="0.5"/>
  <pageSetup paperSize="9" scale="96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EE37270-CA56-4D8F-BE86-A9AC98861255}">
            <xm:f>NOT(ISERROR(SEARCH('Dane podstawowe'!$B$9,D2)))</xm:f>
            <xm:f>'Dane podstawowe'!$B$9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D2:E2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indexed="39"/>
    <pageSetUpPr fitToPage="1"/>
  </sheetPr>
  <dimension ref="B1:H42"/>
  <sheetViews>
    <sheetView showGridLines="0" view="pageBreakPreview" zoomScaleNormal="75" zoomScaleSheetLayoutView="80" workbookViewId="0">
      <selection activeCell="F31" sqref="F31:H31"/>
    </sheetView>
  </sheetViews>
  <sheetFormatPr defaultColWidth="9.109375" defaultRowHeight="13.2" x14ac:dyDescent="0.25"/>
  <cols>
    <col min="1" max="1" width="2.88671875" style="31" customWidth="1"/>
    <col min="2" max="2" width="59" style="31" customWidth="1"/>
    <col min="3" max="3" width="8.6640625" style="496" customWidth="1"/>
    <col min="4" max="4" width="16.88671875" style="31" bestFit="1" customWidth="1"/>
    <col min="5" max="5" width="16.5546875" style="31" bestFit="1" customWidth="1"/>
    <col min="6" max="16384" width="9.109375" style="31"/>
  </cols>
  <sheetData>
    <row r="1" spans="2:8" ht="15" x14ac:dyDescent="0.25">
      <c r="B1" s="220"/>
    </row>
    <row r="2" spans="2:8" s="32" customFormat="1" x14ac:dyDescent="0.25">
      <c r="B2" s="238" t="s">
        <v>545</v>
      </c>
      <c r="C2" s="246" t="s">
        <v>423</v>
      </c>
      <c r="D2" s="622">
        <v>42735</v>
      </c>
      <c r="E2" s="622">
        <v>42369</v>
      </c>
      <c r="F2" s="33"/>
      <c r="G2" s="33"/>
      <c r="H2" s="33"/>
    </row>
    <row r="3" spans="2:8" s="35" customFormat="1" ht="13.8" x14ac:dyDescent="0.25">
      <c r="B3" s="239" t="s">
        <v>540</v>
      </c>
      <c r="C3" s="240" t="s">
        <v>218</v>
      </c>
      <c r="D3" s="365">
        <f>D4+D12</f>
        <v>22477097.210000001</v>
      </c>
      <c r="E3" s="365">
        <f>E4+E12</f>
        <v>18907917</v>
      </c>
    </row>
    <row r="4" spans="2:8" s="35" customFormat="1" ht="13.8" x14ac:dyDescent="0.25">
      <c r="B4" s="655" t="s">
        <v>537</v>
      </c>
      <c r="C4" s="240" t="s">
        <v>218</v>
      </c>
      <c r="D4" s="369">
        <f>SUM(D5:D11)</f>
        <v>21458261.210000001</v>
      </c>
      <c r="E4" s="369">
        <f>SUM(E5:E11)</f>
        <v>18387565</v>
      </c>
    </row>
    <row r="5" spans="2:8" s="34" customFormat="1" ht="13.8" x14ac:dyDescent="0.25">
      <c r="B5" s="227" t="s">
        <v>438</v>
      </c>
      <c r="C5" s="240" t="s">
        <v>734</v>
      </c>
      <c r="D5" s="370">
        <v>229155</v>
      </c>
      <c r="E5" s="370">
        <v>221550</v>
      </c>
    </row>
    <row r="6" spans="2:8" s="34" customFormat="1" ht="13.8" x14ac:dyDescent="0.25">
      <c r="B6" s="227" t="s">
        <v>538</v>
      </c>
      <c r="C6" s="240"/>
      <c r="D6" s="365"/>
      <c r="E6" s="365"/>
    </row>
    <row r="7" spans="2:8" s="33" customFormat="1" x14ac:dyDescent="0.25">
      <c r="B7" s="227" t="s">
        <v>393</v>
      </c>
      <c r="C7" s="240" t="s">
        <v>218</v>
      </c>
      <c r="D7" s="366"/>
      <c r="E7" s="366"/>
    </row>
    <row r="8" spans="2:8" s="33" customFormat="1" x14ac:dyDescent="0.25">
      <c r="B8" s="227" t="s">
        <v>439</v>
      </c>
      <c r="C8" s="240" t="s">
        <v>948</v>
      </c>
      <c r="D8" s="366">
        <v>17671881</v>
      </c>
      <c r="E8" s="366">
        <v>13715733</v>
      </c>
    </row>
    <row r="9" spans="2:8" s="33" customFormat="1" x14ac:dyDescent="0.25">
      <c r="B9" s="656" t="s">
        <v>539</v>
      </c>
      <c r="C9" s="240" t="s">
        <v>218</v>
      </c>
      <c r="D9" s="366"/>
      <c r="E9" s="366"/>
    </row>
    <row r="10" spans="2:8" s="34" customFormat="1" ht="13.8" x14ac:dyDescent="0.25">
      <c r="B10" s="227" t="s">
        <v>134</v>
      </c>
      <c r="C10" s="240" t="s">
        <v>949</v>
      </c>
      <c r="D10" s="368">
        <v>11844</v>
      </c>
      <c r="E10" s="368">
        <v>660720</v>
      </c>
    </row>
    <row r="11" spans="2:8" s="33" customFormat="1" x14ac:dyDescent="0.25">
      <c r="B11" s="227" t="s">
        <v>135</v>
      </c>
      <c r="C11" s="240" t="s">
        <v>218</v>
      </c>
      <c r="D11" s="366">
        <v>3545381.21</v>
      </c>
      <c r="E11" s="366">
        <v>3789562</v>
      </c>
    </row>
    <row r="12" spans="2:8" s="33" customFormat="1" ht="15" customHeight="1" x14ac:dyDescent="0.25">
      <c r="B12" s="655" t="s">
        <v>670</v>
      </c>
      <c r="C12" s="240" t="s">
        <v>950</v>
      </c>
      <c r="D12" s="371">
        <v>1018836</v>
      </c>
      <c r="E12" s="371">
        <v>520352</v>
      </c>
    </row>
    <row r="13" spans="2:8" s="33" customFormat="1" x14ac:dyDescent="0.25">
      <c r="B13" s="239" t="s">
        <v>541</v>
      </c>
      <c r="C13" s="240" t="s">
        <v>218</v>
      </c>
      <c r="D13" s="365">
        <f>SUM(D14:D20)</f>
        <v>554322</v>
      </c>
      <c r="E13" s="365">
        <f>SUM(E14:E20)</f>
        <v>300765</v>
      </c>
    </row>
    <row r="14" spans="2:8" s="35" customFormat="1" ht="13.8" x14ac:dyDescent="0.25">
      <c r="B14" s="227" t="s">
        <v>59</v>
      </c>
      <c r="C14" s="240" t="s">
        <v>951</v>
      </c>
      <c r="D14" s="368"/>
      <c r="E14" s="368"/>
    </row>
    <row r="15" spans="2:8" s="33" customFormat="1" x14ac:dyDescent="0.25">
      <c r="B15" s="501" t="s">
        <v>164</v>
      </c>
      <c r="C15" s="240" t="s">
        <v>952</v>
      </c>
      <c r="D15" s="366">
        <v>44003</v>
      </c>
      <c r="E15" s="366">
        <v>38751</v>
      </c>
    </row>
    <row r="16" spans="2:8" s="33" customFormat="1" x14ac:dyDescent="0.25">
      <c r="B16" s="501" t="s">
        <v>269</v>
      </c>
      <c r="C16" s="240"/>
      <c r="D16" s="366"/>
      <c r="E16" s="366"/>
    </row>
    <row r="17" spans="2:8" s="33" customFormat="1" x14ac:dyDescent="0.25">
      <c r="B17" s="501" t="s">
        <v>166</v>
      </c>
      <c r="C17" s="240">
        <v>6</v>
      </c>
      <c r="D17" s="366">
        <v>510319</v>
      </c>
      <c r="E17" s="366">
        <v>108646</v>
      </c>
    </row>
    <row r="18" spans="2:8" s="35" customFormat="1" ht="13.8" x14ac:dyDescent="0.25">
      <c r="B18" s="501" t="s">
        <v>577</v>
      </c>
      <c r="C18" s="240" t="s">
        <v>955</v>
      </c>
      <c r="D18" s="368"/>
      <c r="E18" s="368">
        <v>153368</v>
      </c>
    </row>
    <row r="19" spans="2:8" s="35" customFormat="1" ht="13.8" x14ac:dyDescent="0.25">
      <c r="B19" s="501" t="s">
        <v>440</v>
      </c>
      <c r="C19" s="240"/>
      <c r="D19" s="368"/>
      <c r="E19" s="368"/>
    </row>
    <row r="20" spans="2:8" s="35" customFormat="1" ht="13.8" x14ac:dyDescent="0.25">
      <c r="B20" s="501" t="s">
        <v>385</v>
      </c>
      <c r="C20" s="240"/>
      <c r="D20" s="368"/>
      <c r="E20" s="368"/>
    </row>
    <row r="21" spans="2:8" s="33" customFormat="1" x14ac:dyDescent="0.25">
      <c r="B21" s="239" t="s">
        <v>413</v>
      </c>
      <c r="C21" s="240" t="s">
        <v>218</v>
      </c>
      <c r="D21" s="365">
        <f>SUM(D22:D29)</f>
        <v>6591354</v>
      </c>
      <c r="E21" s="365">
        <f>SUM(E22:E29)</f>
        <v>6214101</v>
      </c>
    </row>
    <row r="22" spans="2:8" s="33" customFormat="1" x14ac:dyDescent="0.25">
      <c r="B22" s="227" t="s">
        <v>59</v>
      </c>
      <c r="C22" s="240" t="s">
        <v>951</v>
      </c>
      <c r="D22" s="368">
        <v>36680</v>
      </c>
      <c r="E22" s="368">
        <v>17036</v>
      </c>
    </row>
    <row r="23" spans="2:8" s="33" customFormat="1" x14ac:dyDescent="0.25">
      <c r="B23" s="501" t="s">
        <v>164</v>
      </c>
      <c r="C23" s="240" t="s">
        <v>952</v>
      </c>
      <c r="D23" s="368">
        <v>48938</v>
      </c>
      <c r="E23" s="368">
        <v>37439</v>
      </c>
    </row>
    <row r="24" spans="2:8" s="33" customFormat="1" x14ac:dyDescent="0.25">
      <c r="B24" s="227" t="s">
        <v>441</v>
      </c>
      <c r="C24" s="240" t="s">
        <v>953</v>
      </c>
      <c r="D24" s="366">
        <v>4988634</v>
      </c>
      <c r="E24" s="366">
        <v>5091660</v>
      </c>
    </row>
    <row r="25" spans="2:8" s="33" customFormat="1" x14ac:dyDescent="0.25">
      <c r="B25" s="656" t="s">
        <v>542</v>
      </c>
      <c r="C25" s="240" t="s">
        <v>218</v>
      </c>
      <c r="D25" s="366">
        <v>2320</v>
      </c>
      <c r="E25" s="366">
        <v>35893</v>
      </c>
    </row>
    <row r="26" spans="2:8" s="33" customFormat="1" x14ac:dyDescent="0.25">
      <c r="B26" s="227" t="s">
        <v>610</v>
      </c>
      <c r="C26" s="240" t="s">
        <v>954</v>
      </c>
      <c r="D26" s="366">
        <v>919168</v>
      </c>
      <c r="E26" s="366">
        <v>662131</v>
      </c>
    </row>
    <row r="27" spans="2:8" s="33" customFormat="1" x14ac:dyDescent="0.25">
      <c r="B27" s="501" t="s">
        <v>819</v>
      </c>
      <c r="C27" s="240" t="s">
        <v>955</v>
      </c>
      <c r="D27" s="366">
        <v>153834</v>
      </c>
      <c r="E27" s="366">
        <v>187187</v>
      </c>
    </row>
    <row r="28" spans="2:8" s="33" customFormat="1" x14ac:dyDescent="0.25">
      <c r="B28" s="227" t="s">
        <v>440</v>
      </c>
      <c r="C28" s="240" t="s">
        <v>956</v>
      </c>
      <c r="D28" s="366">
        <v>200380</v>
      </c>
      <c r="E28" s="366">
        <v>153620</v>
      </c>
    </row>
    <row r="29" spans="2:8" s="33" customFormat="1" x14ac:dyDescent="0.25">
      <c r="B29" s="227" t="s">
        <v>385</v>
      </c>
      <c r="C29" s="240" t="s">
        <v>735</v>
      </c>
      <c r="D29" s="366">
        <v>241400</v>
      </c>
      <c r="E29" s="366">
        <v>29135</v>
      </c>
    </row>
    <row r="30" spans="2:8" s="364" customFormat="1" ht="20.399999999999999" x14ac:dyDescent="0.25">
      <c r="B30" s="239" t="s">
        <v>372</v>
      </c>
      <c r="C30" s="240"/>
      <c r="D30" s="365"/>
      <c r="E30" s="365"/>
    </row>
    <row r="31" spans="2:8" s="32" customFormat="1" x14ac:dyDescent="0.25">
      <c r="B31" s="239" t="s">
        <v>442</v>
      </c>
      <c r="C31" s="240" t="s">
        <v>218</v>
      </c>
      <c r="D31" s="365">
        <f>SUM(D3,D13,D21,D30)</f>
        <v>29622773.210000001</v>
      </c>
      <c r="E31" s="365">
        <f>SUM(E3,E13,E21,E30)</f>
        <v>25422783</v>
      </c>
      <c r="F31" s="33"/>
      <c r="G31" s="33"/>
      <c r="H31" s="33"/>
    </row>
    <row r="32" spans="2:8" s="219" customFormat="1" x14ac:dyDescent="0.25">
      <c r="B32" s="245" t="s">
        <v>157</v>
      </c>
      <c r="C32" s="240" t="s">
        <v>218</v>
      </c>
      <c r="D32" s="595">
        <f>D3/2291551</f>
        <v>9.8086829444337056</v>
      </c>
      <c r="E32" s="595">
        <f>E3/2215500</f>
        <v>8.5343791469194308</v>
      </c>
    </row>
    <row r="33" spans="2:5" s="37" customFormat="1" x14ac:dyDescent="0.25">
      <c r="B33" s="20"/>
      <c r="C33" s="497"/>
      <c r="D33" s="24"/>
      <c r="E33" s="21"/>
    </row>
    <row r="34" spans="2:5" s="37" customFormat="1" x14ac:dyDescent="0.25">
      <c r="B34" s="20"/>
      <c r="C34" s="497"/>
      <c r="D34" s="24"/>
      <c r="E34" s="21"/>
    </row>
    <row r="35" spans="2:5" s="37" customFormat="1" x14ac:dyDescent="0.25">
      <c r="B35" s="20"/>
      <c r="C35" s="497"/>
      <c r="D35" s="26"/>
      <c r="E35" s="21"/>
    </row>
    <row r="36" spans="2:5" s="37" customFormat="1" x14ac:dyDescent="0.25">
      <c r="B36" s="20"/>
      <c r="C36" s="497"/>
      <c r="D36" s="21"/>
      <c r="E36" s="21"/>
    </row>
    <row r="37" spans="2:5" s="37" customFormat="1" x14ac:dyDescent="0.25">
      <c r="B37" s="20"/>
      <c r="C37" s="497"/>
      <c r="D37" s="21"/>
      <c r="E37" s="21"/>
    </row>
    <row r="38" spans="2:5" s="37" customFormat="1" ht="13.8" x14ac:dyDescent="0.25">
      <c r="B38" s="28"/>
      <c r="C38" s="498"/>
      <c r="D38" s="21"/>
      <c r="E38" s="21"/>
    </row>
    <row r="39" spans="2:5" s="37" customFormat="1" x14ac:dyDescent="0.25">
      <c r="B39" s="20"/>
      <c r="C39" s="497"/>
      <c r="D39" s="21"/>
      <c r="E39" s="21"/>
    </row>
    <row r="40" spans="2:5" s="37" customFormat="1" ht="13.8" x14ac:dyDescent="0.25">
      <c r="B40" s="28"/>
      <c r="C40" s="498"/>
      <c r="D40" s="21"/>
      <c r="E40" s="21"/>
    </row>
    <row r="41" spans="2:5" s="37" customFormat="1" x14ac:dyDescent="0.25">
      <c r="B41" s="30"/>
      <c r="C41" s="499"/>
      <c r="D41" s="21"/>
      <c r="E41" s="21"/>
    </row>
    <row r="42" spans="2:5" s="37" customFormat="1" x14ac:dyDescent="0.25">
      <c r="B42" s="30"/>
      <c r="C42" s="499"/>
      <c r="D42" s="21"/>
      <c r="E42" s="21"/>
    </row>
  </sheetData>
  <phoneticPr fontId="27" type="noConversion"/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indexed="39"/>
    <pageSetUpPr fitToPage="1"/>
  </sheetPr>
  <dimension ref="B1:K36"/>
  <sheetViews>
    <sheetView showGridLines="0" view="pageBreakPreview" topLeftCell="A13" zoomScale="80" zoomScaleNormal="100" zoomScaleSheetLayoutView="80" workbookViewId="0">
      <selection activeCell="M22" sqref="M22"/>
    </sheetView>
  </sheetViews>
  <sheetFormatPr defaultColWidth="9.109375" defaultRowHeight="15" x14ac:dyDescent="0.25"/>
  <cols>
    <col min="1" max="1" width="4.5546875" style="29" customWidth="1"/>
    <col min="2" max="2" width="57.109375" style="29" bestFit="1" customWidth="1"/>
    <col min="3" max="9" width="14.88671875" style="29" customWidth="1"/>
    <col min="10" max="10" width="16.109375" style="29" customWidth="1"/>
    <col min="11" max="11" width="14.88671875" style="29" customWidth="1"/>
    <col min="12" max="16384" width="9.109375" style="29"/>
  </cols>
  <sheetData>
    <row r="1" spans="2:11" x14ac:dyDescent="0.25">
      <c r="B1" s="221"/>
    </row>
    <row r="2" spans="2:11" s="23" customFormat="1" ht="16.8" x14ac:dyDescent="0.25">
      <c r="B2" s="249" t="s">
        <v>149</v>
      </c>
      <c r="C2" s="248"/>
      <c r="D2" s="248"/>
      <c r="E2" s="248"/>
      <c r="F2" s="39"/>
    </row>
    <row r="3" spans="2:11" s="23" customFormat="1" ht="63" customHeight="1" x14ac:dyDescent="0.25">
      <c r="B3" s="92"/>
      <c r="C3" s="247" t="s">
        <v>438</v>
      </c>
      <c r="D3" s="246" t="s">
        <v>538</v>
      </c>
      <c r="E3" s="246" t="s">
        <v>439</v>
      </c>
      <c r="F3" s="246" t="s">
        <v>539</v>
      </c>
      <c r="G3" s="246" t="s">
        <v>134</v>
      </c>
      <c r="H3" s="246" t="s">
        <v>135</v>
      </c>
      <c r="I3" s="246" t="s">
        <v>543</v>
      </c>
      <c r="J3" s="246" t="s">
        <v>748</v>
      </c>
      <c r="K3" s="246" t="s">
        <v>544</v>
      </c>
    </row>
    <row r="4" spans="2:11" x14ac:dyDescent="0.25">
      <c r="B4" s="747" t="s">
        <v>910</v>
      </c>
      <c r="C4" s="748"/>
      <c r="D4" s="748"/>
      <c r="E4" s="748"/>
      <c r="F4" s="748"/>
      <c r="G4" s="748"/>
      <c r="H4" s="748"/>
      <c r="I4" s="748"/>
      <c r="J4" s="748"/>
      <c r="K4" s="748"/>
    </row>
    <row r="5" spans="2:11" x14ac:dyDescent="0.25">
      <c r="B5" s="372" t="s">
        <v>885</v>
      </c>
      <c r="C5" s="373">
        <f>C36</f>
        <v>221550</v>
      </c>
      <c r="D5" s="373">
        <f t="shared" ref="D5:J5" si="0">D36</f>
        <v>2894491</v>
      </c>
      <c r="E5" s="373">
        <f t="shared" si="0"/>
        <v>10821242</v>
      </c>
      <c r="F5" s="373">
        <f t="shared" si="0"/>
        <v>0</v>
      </c>
      <c r="G5" s="373">
        <v>4450282</v>
      </c>
      <c r="H5" s="373"/>
      <c r="I5" s="373">
        <f>SUM(C5:H5)</f>
        <v>18387565</v>
      </c>
      <c r="J5" s="373">
        <f t="shared" si="0"/>
        <v>520352</v>
      </c>
      <c r="K5" s="373">
        <f>I5+J5</f>
        <v>18907917</v>
      </c>
    </row>
    <row r="6" spans="2:11" x14ac:dyDescent="0.25">
      <c r="B6" s="374" t="s">
        <v>546</v>
      </c>
      <c r="C6" s="375"/>
      <c r="D6" s="375"/>
      <c r="E6" s="375"/>
      <c r="F6" s="375"/>
      <c r="G6" s="375"/>
      <c r="H6" s="375"/>
      <c r="I6" s="376">
        <f t="shared" ref="I6:I10" si="1">SUM(C6:H6)</f>
        <v>0</v>
      </c>
      <c r="J6" s="376"/>
      <c r="K6" s="376">
        <f t="shared" ref="K6:K19" si="2">I6+J6</f>
        <v>0</v>
      </c>
    </row>
    <row r="7" spans="2:11" x14ac:dyDescent="0.25">
      <c r="B7" s="374" t="s">
        <v>547</v>
      </c>
      <c r="C7" s="375"/>
      <c r="D7" s="375"/>
      <c r="E7" s="375"/>
      <c r="F7" s="375"/>
      <c r="G7" s="375"/>
      <c r="H7" s="375"/>
      <c r="I7" s="376">
        <f t="shared" si="1"/>
        <v>0</v>
      </c>
      <c r="J7" s="376"/>
      <c r="K7" s="376">
        <f t="shared" si="2"/>
        <v>0</v>
      </c>
    </row>
    <row r="8" spans="2:11" x14ac:dyDescent="0.25">
      <c r="B8" s="377" t="s">
        <v>548</v>
      </c>
      <c r="C8" s="373">
        <f>SUM(C5:C7)</f>
        <v>221550</v>
      </c>
      <c r="D8" s="373">
        <f t="shared" ref="D8:J8" si="3">SUM(D5:D7)</f>
        <v>2894491</v>
      </c>
      <c r="E8" s="373">
        <f>SUM(E5:E7)</f>
        <v>10821242</v>
      </c>
      <c r="F8" s="373">
        <f t="shared" si="3"/>
        <v>0</v>
      </c>
      <c r="G8" s="373">
        <f t="shared" si="3"/>
        <v>4450282</v>
      </c>
      <c r="H8" s="373">
        <f t="shared" si="3"/>
        <v>0</v>
      </c>
      <c r="I8" s="373">
        <f>SUM(C8:H8)</f>
        <v>18387565</v>
      </c>
      <c r="J8" s="373">
        <f t="shared" si="3"/>
        <v>520352</v>
      </c>
      <c r="K8" s="373">
        <f t="shared" si="2"/>
        <v>18907917</v>
      </c>
    </row>
    <row r="9" spans="2:11" s="40" customFormat="1" ht="13.8" x14ac:dyDescent="0.25">
      <c r="B9" s="374" t="s">
        <v>167</v>
      </c>
      <c r="C9" s="370">
        <v>7605.1</v>
      </c>
      <c r="D9" s="370">
        <v>775711</v>
      </c>
      <c r="E9" s="370"/>
      <c r="F9" s="370"/>
      <c r="G9" s="381"/>
      <c r="H9" s="381"/>
      <c r="I9" s="376">
        <f t="shared" si="1"/>
        <v>783316.1</v>
      </c>
      <c r="J9" s="381"/>
      <c r="K9" s="376">
        <f t="shared" si="2"/>
        <v>783316.1</v>
      </c>
    </row>
    <row r="10" spans="2:11" x14ac:dyDescent="0.25">
      <c r="B10" s="374" t="s">
        <v>549</v>
      </c>
      <c r="C10" s="382"/>
      <c r="D10" s="382">
        <v>-235875</v>
      </c>
      <c r="E10" s="382"/>
      <c r="F10" s="382"/>
      <c r="G10" s="378"/>
      <c r="H10" s="378"/>
      <c r="I10" s="376">
        <f t="shared" si="1"/>
        <v>-235875</v>
      </c>
      <c r="J10" s="379"/>
      <c r="K10" s="376">
        <f t="shared" si="2"/>
        <v>-235875</v>
      </c>
    </row>
    <row r="11" spans="2:11" s="40" customFormat="1" ht="13.8" x14ac:dyDescent="0.25">
      <c r="B11" s="553" t="s">
        <v>749</v>
      </c>
      <c r="C11" s="365"/>
      <c r="D11" s="370">
        <v>-20875.87</v>
      </c>
      <c r="E11" s="365"/>
      <c r="F11" s="365"/>
      <c r="G11" s="381"/>
      <c r="H11" s="380"/>
      <c r="I11" s="376">
        <f>SUM(C11:H11)</f>
        <v>-20875.87</v>
      </c>
      <c r="J11" s="381">
        <v>65208</v>
      </c>
      <c r="K11" s="376">
        <f>I11+J11</f>
        <v>44332.130000000005</v>
      </c>
    </row>
    <row r="12" spans="2:11" s="40" customFormat="1" ht="13.8" x14ac:dyDescent="0.25">
      <c r="B12" s="374" t="s">
        <v>7</v>
      </c>
      <c r="C12" s="365"/>
      <c r="D12" s="370">
        <v>4450282</v>
      </c>
      <c r="E12" s="365"/>
      <c r="F12" s="365"/>
      <c r="G12" s="381">
        <v>-4450282</v>
      </c>
      <c r="H12" s="381"/>
      <c r="I12" s="376">
        <f t="shared" ref="I12:I19" si="4">SUM(C12:H12)</f>
        <v>0</v>
      </c>
      <c r="J12" s="381"/>
      <c r="K12" s="376">
        <f t="shared" si="2"/>
        <v>0</v>
      </c>
    </row>
    <row r="13" spans="2:11" x14ac:dyDescent="0.25">
      <c r="B13" s="374" t="s">
        <v>168</v>
      </c>
      <c r="C13" s="375"/>
      <c r="D13" s="375"/>
      <c r="E13" s="375"/>
      <c r="F13" s="375"/>
      <c r="G13" s="378"/>
      <c r="H13" s="378"/>
      <c r="I13" s="376">
        <f t="shared" si="4"/>
        <v>0</v>
      </c>
      <c r="J13" s="379"/>
      <c r="K13" s="376">
        <f t="shared" si="2"/>
        <v>0</v>
      </c>
    </row>
    <row r="14" spans="2:11" x14ac:dyDescent="0.25">
      <c r="B14" s="553" t="s">
        <v>911</v>
      </c>
      <c r="C14" s="375"/>
      <c r="D14" s="375"/>
      <c r="E14" s="375"/>
      <c r="F14" s="375"/>
      <c r="G14" s="378">
        <v>11844</v>
      </c>
      <c r="H14" s="378"/>
      <c r="I14" s="376">
        <f t="shared" si="4"/>
        <v>11844</v>
      </c>
      <c r="J14" s="379"/>
      <c r="K14" s="376">
        <f t="shared" si="2"/>
        <v>11844</v>
      </c>
    </row>
    <row r="15" spans="2:11" x14ac:dyDescent="0.25">
      <c r="B15" s="553" t="s">
        <v>751</v>
      </c>
      <c r="C15" s="375"/>
      <c r="D15" s="375"/>
      <c r="E15" s="375"/>
      <c r="F15" s="375"/>
      <c r="G15" s="378"/>
      <c r="H15" s="378"/>
      <c r="I15" s="376">
        <f t="shared" si="4"/>
        <v>0</v>
      </c>
      <c r="J15" s="379"/>
      <c r="K15" s="376">
        <f t="shared" si="2"/>
        <v>0</v>
      </c>
    </row>
    <row r="16" spans="2:11" x14ac:dyDescent="0.25">
      <c r="B16" s="553" t="s">
        <v>750</v>
      </c>
      <c r="C16" s="375"/>
      <c r="D16" s="375"/>
      <c r="E16" s="375">
        <v>-1013094</v>
      </c>
      <c r="F16" s="375"/>
      <c r="G16" s="378"/>
      <c r="H16" s="378"/>
      <c r="I16" s="376">
        <f t="shared" si="4"/>
        <v>-1013094</v>
      </c>
      <c r="J16" s="379"/>
      <c r="K16" s="376">
        <f t="shared" si="2"/>
        <v>-1013094</v>
      </c>
    </row>
    <row r="17" spans="2:11" x14ac:dyDescent="0.25">
      <c r="B17" s="553" t="s">
        <v>900</v>
      </c>
      <c r="C17" s="375"/>
      <c r="D17" s="375"/>
      <c r="E17" s="375"/>
      <c r="F17" s="375"/>
      <c r="G17" s="378"/>
      <c r="H17" s="378">
        <v>3545381</v>
      </c>
      <c r="I17" s="376">
        <f t="shared" si="4"/>
        <v>3545381</v>
      </c>
      <c r="J17" s="379"/>
      <c r="K17" s="376">
        <f t="shared" si="2"/>
        <v>3545381</v>
      </c>
    </row>
    <row r="18" spans="2:11" x14ac:dyDescent="0.25">
      <c r="B18" s="553" t="s">
        <v>901</v>
      </c>
      <c r="C18" s="375"/>
      <c r="D18" s="375"/>
      <c r="E18" s="375"/>
      <c r="F18" s="375"/>
      <c r="G18" s="378"/>
      <c r="H18" s="378"/>
      <c r="I18" s="376">
        <f t="shared" si="4"/>
        <v>0</v>
      </c>
      <c r="J18" s="379">
        <v>433276</v>
      </c>
      <c r="K18" s="376">
        <f t="shared" si="2"/>
        <v>433276</v>
      </c>
    </row>
    <row r="19" spans="2:11" x14ac:dyDescent="0.25">
      <c r="B19" s="374" t="s">
        <v>394</v>
      </c>
      <c r="C19" s="375"/>
      <c r="D19" s="375"/>
      <c r="E19" s="375"/>
      <c r="F19" s="375"/>
      <c r="G19" s="375"/>
      <c r="H19" s="375"/>
      <c r="I19" s="376">
        <f t="shared" si="4"/>
        <v>0</v>
      </c>
      <c r="J19" s="375"/>
      <c r="K19" s="376">
        <f t="shared" si="2"/>
        <v>0</v>
      </c>
    </row>
    <row r="20" spans="2:11" x14ac:dyDescent="0.25">
      <c r="B20" s="372" t="s">
        <v>886</v>
      </c>
      <c r="C20" s="373">
        <f>SUM(C8:C19)</f>
        <v>229155.1</v>
      </c>
      <c r="D20" s="373">
        <f>SUM(D8:D19)</f>
        <v>7863733.1299999999</v>
      </c>
      <c r="E20" s="373">
        <f>SUM(E8:E19)</f>
        <v>9808148</v>
      </c>
      <c r="F20" s="373">
        <f t="shared" ref="F20:J20" si="5">SUM(F8:F19)</f>
        <v>0</v>
      </c>
      <c r="G20" s="373">
        <f t="shared" si="5"/>
        <v>11844</v>
      </c>
      <c r="H20" s="373">
        <f t="shared" si="5"/>
        <v>3545381</v>
      </c>
      <c r="I20" s="373">
        <f t="shared" si="5"/>
        <v>21458261.23</v>
      </c>
      <c r="J20" s="373">
        <f t="shared" si="5"/>
        <v>1018836</v>
      </c>
      <c r="K20" s="373">
        <f>SUM(K8:K19)</f>
        <v>22477097.23</v>
      </c>
    </row>
    <row r="21" spans="2:11" x14ac:dyDescent="0.25">
      <c r="B21" s="747" t="s">
        <v>966</v>
      </c>
      <c r="C21" s="748"/>
      <c r="D21" s="748"/>
      <c r="E21" s="748"/>
      <c r="F21" s="748"/>
      <c r="G21" s="748"/>
      <c r="H21" s="748"/>
      <c r="I21" s="748"/>
      <c r="J21" s="748"/>
      <c r="K21" s="748"/>
    </row>
    <row r="22" spans="2:11" x14ac:dyDescent="0.25">
      <c r="B22" s="372" t="s">
        <v>852</v>
      </c>
      <c r="C22" s="373">
        <v>221550</v>
      </c>
      <c r="D22" s="373">
        <v>2686876</v>
      </c>
      <c r="E22" s="373">
        <v>10282157</v>
      </c>
      <c r="F22" s="373">
        <v>0</v>
      </c>
      <c r="G22" s="373">
        <v>1107700</v>
      </c>
      <c r="H22" s="373"/>
      <c r="I22" s="373">
        <v>14298283</v>
      </c>
      <c r="J22" s="373">
        <v>856318</v>
      </c>
      <c r="K22" s="373">
        <v>15154601</v>
      </c>
    </row>
    <row r="23" spans="2:11" x14ac:dyDescent="0.25">
      <c r="B23" s="374" t="s">
        <v>546</v>
      </c>
      <c r="C23" s="375"/>
      <c r="D23" s="375"/>
      <c r="E23" s="375"/>
      <c r="F23" s="375"/>
      <c r="G23" s="375"/>
      <c r="H23" s="375"/>
      <c r="I23" s="376">
        <v>0</v>
      </c>
      <c r="J23" s="376"/>
      <c r="K23" s="376">
        <v>0</v>
      </c>
    </row>
    <row r="24" spans="2:11" x14ac:dyDescent="0.25">
      <c r="B24" s="374" t="s">
        <v>547</v>
      </c>
      <c r="C24" s="375"/>
      <c r="D24" s="375"/>
      <c r="E24" s="375"/>
      <c r="F24" s="375"/>
      <c r="G24" s="375"/>
      <c r="H24" s="375"/>
      <c r="I24" s="376">
        <v>0</v>
      </c>
      <c r="J24" s="376"/>
      <c r="K24" s="376">
        <v>0</v>
      </c>
    </row>
    <row r="25" spans="2:11" x14ac:dyDescent="0.25">
      <c r="B25" s="377" t="s">
        <v>548</v>
      </c>
      <c r="C25" s="373">
        <v>221550</v>
      </c>
      <c r="D25" s="373">
        <v>2686876</v>
      </c>
      <c r="E25" s="373">
        <v>10282157</v>
      </c>
      <c r="F25" s="373">
        <v>0</v>
      </c>
      <c r="G25" s="373">
        <v>1107700</v>
      </c>
      <c r="H25" s="373">
        <v>0</v>
      </c>
      <c r="I25" s="373">
        <v>14298283</v>
      </c>
      <c r="J25" s="373">
        <v>856318</v>
      </c>
      <c r="K25" s="373">
        <v>15154601</v>
      </c>
    </row>
    <row r="26" spans="2:11" x14ac:dyDescent="0.25">
      <c r="B26" s="374" t="s">
        <v>167</v>
      </c>
      <c r="C26" s="365"/>
      <c r="D26" s="370"/>
      <c r="E26" s="376"/>
      <c r="F26" s="370"/>
      <c r="G26" s="381"/>
      <c r="H26" s="380"/>
      <c r="I26" s="376">
        <v>0</v>
      </c>
      <c r="J26" s="381"/>
      <c r="K26" s="376">
        <v>0</v>
      </c>
    </row>
    <row r="27" spans="2:11" x14ac:dyDescent="0.25">
      <c r="B27" s="374" t="s">
        <v>549</v>
      </c>
      <c r="C27" s="365"/>
      <c r="D27" s="370"/>
      <c r="E27" s="370"/>
      <c r="F27" s="370"/>
      <c r="G27" s="381"/>
      <c r="H27" s="380"/>
      <c r="I27" s="376"/>
      <c r="J27" s="381"/>
      <c r="K27" s="376">
        <v>0</v>
      </c>
    </row>
    <row r="28" spans="2:11" x14ac:dyDescent="0.25">
      <c r="B28" s="553" t="s">
        <v>749</v>
      </c>
      <c r="C28" s="365"/>
      <c r="D28" s="370">
        <v>-397322</v>
      </c>
      <c r="E28" s="370"/>
      <c r="F28" s="370"/>
      <c r="G28" s="381">
        <v>-501074</v>
      </c>
      <c r="H28" s="380"/>
      <c r="I28" s="376">
        <v>-898396</v>
      </c>
      <c r="J28" s="381">
        <v>-335966</v>
      </c>
      <c r="K28" s="376">
        <v>-1234362</v>
      </c>
    </row>
    <row r="29" spans="2:11" x14ac:dyDescent="0.25">
      <c r="B29" s="374" t="s">
        <v>7</v>
      </c>
      <c r="C29" s="365"/>
      <c r="D29" s="365">
        <v>571327</v>
      </c>
      <c r="E29" s="365"/>
      <c r="F29" s="365"/>
      <c r="G29" s="381">
        <v>54094</v>
      </c>
      <c r="H29" s="380"/>
      <c r="I29" s="376">
        <v>625421</v>
      </c>
      <c r="J29" s="381"/>
      <c r="K29" s="376">
        <v>625421</v>
      </c>
    </row>
    <row r="30" spans="2:11" s="40" customFormat="1" ht="13.8" x14ac:dyDescent="0.25">
      <c r="B30" s="374" t="s">
        <v>168</v>
      </c>
      <c r="C30" s="382"/>
      <c r="D30" s="382"/>
      <c r="E30" s="382"/>
      <c r="F30" s="382"/>
      <c r="G30" s="378"/>
      <c r="H30" s="378"/>
      <c r="I30" s="376">
        <v>0</v>
      </c>
      <c r="J30" s="379"/>
      <c r="K30" s="376">
        <v>0</v>
      </c>
    </row>
    <row r="31" spans="2:11" x14ac:dyDescent="0.25">
      <c r="B31" s="553" t="s">
        <v>751</v>
      </c>
      <c r="C31" s="365"/>
      <c r="D31" s="365"/>
      <c r="E31" s="370"/>
      <c r="F31" s="365"/>
      <c r="G31" s="380"/>
      <c r="H31" s="380"/>
      <c r="I31" s="376">
        <v>0</v>
      </c>
      <c r="J31" s="381"/>
      <c r="K31" s="376">
        <v>0</v>
      </c>
    </row>
    <row r="32" spans="2:11" x14ac:dyDescent="0.25">
      <c r="B32" s="553" t="s">
        <v>750</v>
      </c>
      <c r="C32" s="365"/>
      <c r="D32" s="365"/>
      <c r="E32" s="370">
        <v>539085</v>
      </c>
      <c r="F32" s="365"/>
      <c r="G32" s="380"/>
      <c r="H32" s="380"/>
      <c r="I32" s="376">
        <v>539085</v>
      </c>
      <c r="J32" s="381"/>
      <c r="K32" s="376">
        <v>539085</v>
      </c>
    </row>
    <row r="33" spans="2:11" s="40" customFormat="1" ht="13.8" x14ac:dyDescent="0.25">
      <c r="B33" s="553" t="s">
        <v>875</v>
      </c>
      <c r="C33" s="375"/>
      <c r="D33" s="375"/>
      <c r="E33" s="375"/>
      <c r="F33" s="375"/>
      <c r="G33" s="378"/>
      <c r="H33" s="378">
        <v>3789562</v>
      </c>
      <c r="I33" s="376">
        <v>3789562</v>
      </c>
      <c r="J33" s="379"/>
      <c r="K33" s="376">
        <v>3789562</v>
      </c>
    </row>
    <row r="34" spans="2:11" s="40" customFormat="1" ht="13.8" x14ac:dyDescent="0.25">
      <c r="B34" s="553" t="s">
        <v>874</v>
      </c>
      <c r="C34" s="375"/>
      <c r="D34" s="375">
        <v>33610</v>
      </c>
      <c r="E34" s="375"/>
      <c r="F34" s="375"/>
      <c r="G34" s="378"/>
      <c r="H34" s="378"/>
      <c r="I34" s="376">
        <v>33610</v>
      </c>
      <c r="J34" s="379"/>
      <c r="K34" s="376">
        <v>33610</v>
      </c>
    </row>
    <row r="35" spans="2:11" s="40" customFormat="1" ht="13.8" x14ac:dyDescent="0.25">
      <c r="B35" s="374" t="s">
        <v>394</v>
      </c>
      <c r="C35" s="375"/>
      <c r="D35" s="375"/>
      <c r="E35" s="375"/>
      <c r="F35" s="375"/>
      <c r="G35" s="378"/>
      <c r="H35" s="378"/>
      <c r="I35" s="376">
        <v>0</v>
      </c>
      <c r="J35" s="379"/>
      <c r="K35" s="376">
        <v>0</v>
      </c>
    </row>
    <row r="36" spans="2:11" x14ac:dyDescent="0.25">
      <c r="B36" s="372" t="s">
        <v>853</v>
      </c>
      <c r="C36" s="373">
        <v>221550</v>
      </c>
      <c r="D36" s="373">
        <v>2894491</v>
      </c>
      <c r="E36" s="373">
        <v>10821242</v>
      </c>
      <c r="F36" s="373">
        <v>0</v>
      </c>
      <c r="G36" s="373">
        <v>660720</v>
      </c>
      <c r="H36" s="373">
        <v>3789562</v>
      </c>
      <c r="I36" s="373">
        <v>18387565</v>
      </c>
      <c r="J36" s="373">
        <v>520352</v>
      </c>
      <c r="K36" s="373">
        <v>18907917</v>
      </c>
    </row>
  </sheetData>
  <mergeCells count="2">
    <mergeCell ref="B4:K4"/>
    <mergeCell ref="B21:K21"/>
  </mergeCells>
  <phoneticPr fontId="27" type="noConversion"/>
  <pageMargins left="0.7" right="0.7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indexed="39"/>
    <pageSetUpPr fitToPage="1"/>
  </sheetPr>
  <dimension ref="A1:G69"/>
  <sheetViews>
    <sheetView showGridLines="0" view="pageBreakPreview" topLeftCell="A31" zoomScaleNormal="75" zoomScaleSheetLayoutView="80" workbookViewId="0">
      <selection activeCell="C52" sqref="C52"/>
    </sheetView>
  </sheetViews>
  <sheetFormatPr defaultColWidth="9.109375" defaultRowHeight="13.2" x14ac:dyDescent="0.25"/>
  <cols>
    <col min="1" max="1" width="3.44140625" style="31" customWidth="1"/>
    <col min="2" max="2" width="71.33203125" style="31" bestFit="1" customWidth="1"/>
    <col min="3" max="4" width="17.33203125" style="426" bestFit="1" customWidth="1"/>
    <col min="5" max="16384" width="9.109375" style="31"/>
  </cols>
  <sheetData>
    <row r="1" spans="1:7" x14ac:dyDescent="0.25">
      <c r="B1" s="221"/>
    </row>
    <row r="2" spans="1:7" ht="16.8" x14ac:dyDescent="0.25">
      <c r="B2" s="250" t="s">
        <v>147</v>
      </c>
      <c r="C2" s="427"/>
      <c r="D2" s="427"/>
    </row>
    <row r="3" spans="1:7" s="32" customFormat="1" ht="20.399999999999999" x14ac:dyDescent="0.25">
      <c r="A3" s="218"/>
      <c r="B3" s="238"/>
      <c r="C3" s="428" t="str">
        <f>CONCATENATE("za okres ",'Dane podstawowe'!$B$7)</f>
        <v>za okres 01.01.2016-31.12.2016</v>
      </c>
      <c r="D3" s="428" t="str">
        <f>CONCATENATE("za okres ",'Dane podstawowe'!$B$12)</f>
        <v>za okres 01.01.2015-31.12.2015</v>
      </c>
      <c r="E3" s="33"/>
      <c r="F3" s="33"/>
      <c r="G3" s="33"/>
    </row>
    <row r="4" spans="1:7" s="33" customFormat="1" x14ac:dyDescent="0.25">
      <c r="B4" s="749" t="s">
        <v>450</v>
      </c>
      <c r="C4" s="749"/>
      <c r="D4" s="749"/>
    </row>
    <row r="5" spans="1:7" s="34" customFormat="1" ht="13.8" x14ac:dyDescent="0.25">
      <c r="B5" s="383" t="s">
        <v>169</v>
      </c>
      <c r="C5" s="365">
        <f>RZiS!D26</f>
        <v>5235402.08</v>
      </c>
      <c r="D5" s="365">
        <f>RZiS!E26</f>
        <v>5285507</v>
      </c>
    </row>
    <row r="6" spans="1:7" s="33" customFormat="1" x14ac:dyDescent="0.25">
      <c r="B6" s="383" t="s">
        <v>451</v>
      </c>
      <c r="C6" s="367">
        <f>SUM(C7:C17)</f>
        <v>-1162792.1299999999</v>
      </c>
      <c r="D6" s="367">
        <f>SUM(D7:D17)</f>
        <v>-817980.98</v>
      </c>
    </row>
    <row r="7" spans="1:7" s="33" customFormat="1" x14ac:dyDescent="0.25">
      <c r="B7" s="384" t="s">
        <v>550</v>
      </c>
      <c r="C7" s="547">
        <v>0</v>
      </c>
      <c r="D7" s="547">
        <v>96514</v>
      </c>
    </row>
    <row r="8" spans="1:7" s="33" customFormat="1" x14ac:dyDescent="0.25">
      <c r="B8" s="384" t="s">
        <v>31</v>
      </c>
      <c r="C8" s="547">
        <v>845188</v>
      </c>
      <c r="D8" s="547">
        <v>547045</v>
      </c>
    </row>
    <row r="9" spans="1:7" s="33" customFormat="1" x14ac:dyDescent="0.25">
      <c r="B9" s="384" t="s">
        <v>452</v>
      </c>
      <c r="C9" s="547">
        <v>940</v>
      </c>
      <c r="D9" s="547">
        <v>394</v>
      </c>
    </row>
    <row r="10" spans="1:7" s="34" customFormat="1" ht="13.8" x14ac:dyDescent="0.25">
      <c r="B10" s="384" t="s">
        <v>453</v>
      </c>
      <c r="C10" s="370">
        <v>2172</v>
      </c>
      <c r="D10" s="370">
        <v>39032</v>
      </c>
    </row>
    <row r="11" spans="1:7" s="33" customFormat="1" x14ac:dyDescent="0.25">
      <c r="B11" s="384" t="s">
        <v>454</v>
      </c>
      <c r="C11" s="547">
        <v>1466</v>
      </c>
      <c r="D11" s="547">
        <v>346261</v>
      </c>
    </row>
    <row r="12" spans="1:7" s="33" customFormat="1" x14ac:dyDescent="0.25">
      <c r="B12" s="384" t="s">
        <v>455</v>
      </c>
      <c r="C12" s="547">
        <v>660698</v>
      </c>
      <c r="D12" s="547">
        <v>18956</v>
      </c>
    </row>
    <row r="13" spans="1:7" s="33" customFormat="1" x14ac:dyDescent="0.25">
      <c r="B13" s="384" t="s">
        <v>456</v>
      </c>
      <c r="C13" s="370">
        <v>0</v>
      </c>
      <c r="D13" s="370">
        <v>0</v>
      </c>
    </row>
    <row r="14" spans="1:7" s="33" customFormat="1" x14ac:dyDescent="0.25">
      <c r="B14" s="384" t="s">
        <v>457</v>
      </c>
      <c r="C14" s="547">
        <v>-1836540.53</v>
      </c>
      <c r="D14" s="547">
        <v>-3398333</v>
      </c>
    </row>
    <row r="15" spans="1:7" s="35" customFormat="1" ht="13.8" x14ac:dyDescent="0.25">
      <c r="B15" s="384" t="s">
        <v>170</v>
      </c>
      <c r="C15" s="370">
        <v>120437</v>
      </c>
      <c r="D15" s="370">
        <v>1898559.02</v>
      </c>
    </row>
    <row r="16" spans="1:7" s="33" customFormat="1" x14ac:dyDescent="0.25">
      <c r="B16" s="384" t="s">
        <v>171</v>
      </c>
      <c r="C16" s="547">
        <v>-408140.6</v>
      </c>
      <c r="D16" s="547">
        <v>-674686</v>
      </c>
    </row>
    <row r="17" spans="2:4" s="33" customFormat="1" x14ac:dyDescent="0.25">
      <c r="B17" s="384" t="s">
        <v>458</v>
      </c>
      <c r="C17" s="547">
        <v>-549012</v>
      </c>
      <c r="D17" s="547">
        <v>308277</v>
      </c>
    </row>
    <row r="18" spans="2:4" s="33" customFormat="1" x14ac:dyDescent="0.25">
      <c r="B18" s="383" t="s">
        <v>459</v>
      </c>
      <c r="C18" s="365">
        <f>SUM(C5:C6)</f>
        <v>4072609.95</v>
      </c>
      <c r="D18" s="365">
        <f>SUM(D5:D6)</f>
        <v>4467526.0199999996</v>
      </c>
    </row>
    <row r="19" spans="2:4" s="33" customFormat="1" x14ac:dyDescent="0.25">
      <c r="B19" s="384" t="s">
        <v>460</v>
      </c>
      <c r="C19" s="370">
        <v>-1256744.8600000001</v>
      </c>
      <c r="D19" s="370">
        <v>-1235944</v>
      </c>
    </row>
    <row r="20" spans="2:4" s="33" customFormat="1" x14ac:dyDescent="0.25">
      <c r="B20" s="556" t="s">
        <v>752</v>
      </c>
      <c r="C20" s="370"/>
      <c r="D20" s="370"/>
    </row>
    <row r="21" spans="2:4" s="33" customFormat="1" x14ac:dyDescent="0.25">
      <c r="B21" s="385" t="s">
        <v>373</v>
      </c>
      <c r="C21" s="365">
        <f>SUM(C18,C19)</f>
        <v>2815865.09</v>
      </c>
      <c r="D21" s="365">
        <f>SUM(D18,D19)</f>
        <v>3231582.0199999996</v>
      </c>
    </row>
    <row r="22" spans="2:4" s="33" customFormat="1" x14ac:dyDescent="0.25">
      <c r="B22" s="599" t="s">
        <v>462</v>
      </c>
      <c r="C22" s="599"/>
      <c r="D22" s="599"/>
    </row>
    <row r="23" spans="2:4" s="33" customFormat="1" x14ac:dyDescent="0.25">
      <c r="B23" s="386" t="s">
        <v>480</v>
      </c>
      <c r="C23" s="380">
        <f>SUM(C24:C28)</f>
        <v>10001</v>
      </c>
      <c r="D23" s="380">
        <f>SUM(D24:D28)</f>
        <v>137862</v>
      </c>
    </row>
    <row r="24" spans="2:4" s="33" customFormat="1" x14ac:dyDescent="0.25">
      <c r="B24" s="384" t="s">
        <v>172</v>
      </c>
      <c r="C24" s="547"/>
      <c r="D24" s="547">
        <v>170</v>
      </c>
    </row>
    <row r="25" spans="2:4" s="33" customFormat="1" x14ac:dyDescent="0.25">
      <c r="B25" s="384" t="s">
        <v>173</v>
      </c>
      <c r="C25" s="547"/>
      <c r="D25" s="547"/>
    </row>
    <row r="26" spans="2:4" s="33" customFormat="1" x14ac:dyDescent="0.25">
      <c r="B26" s="384" t="s">
        <v>145</v>
      </c>
      <c r="C26" s="547">
        <v>10001</v>
      </c>
      <c r="D26" s="547">
        <v>137692</v>
      </c>
    </row>
    <row r="27" spans="2:4" s="33" customFormat="1" x14ac:dyDescent="0.25">
      <c r="B27" s="384" t="s">
        <v>174</v>
      </c>
      <c r="C27" s="370"/>
      <c r="D27" s="370"/>
    </row>
    <row r="28" spans="2:4" s="33" customFormat="1" x14ac:dyDescent="0.25">
      <c r="B28" s="384" t="s">
        <v>463</v>
      </c>
      <c r="C28" s="547"/>
      <c r="D28" s="547"/>
    </row>
    <row r="29" spans="2:4" s="33" customFormat="1" x14ac:dyDescent="0.25">
      <c r="B29" s="383" t="s">
        <v>481</v>
      </c>
      <c r="C29" s="365">
        <f>SUM(C30:C33)</f>
        <v>2546790</v>
      </c>
      <c r="D29" s="365">
        <f>SUM(D30:D33)</f>
        <v>2130725</v>
      </c>
    </row>
    <row r="30" spans="2:4" s="33" customFormat="1" x14ac:dyDescent="0.25">
      <c r="B30" s="384" t="s">
        <v>175</v>
      </c>
      <c r="C30" s="370">
        <v>2546790</v>
      </c>
      <c r="D30" s="370">
        <v>1184060</v>
      </c>
    </row>
    <row r="31" spans="2:4" s="36" customFormat="1" ht="11.4" x14ac:dyDescent="0.25">
      <c r="B31" s="384" t="s">
        <v>176</v>
      </c>
      <c r="C31" s="547"/>
      <c r="D31" s="547"/>
    </row>
    <row r="32" spans="2:4" s="35" customFormat="1" ht="13.8" x14ac:dyDescent="0.25">
      <c r="B32" s="384" t="s">
        <v>177</v>
      </c>
      <c r="C32" s="370"/>
      <c r="D32" s="370">
        <v>946665</v>
      </c>
    </row>
    <row r="33" spans="2:7" s="35" customFormat="1" ht="13.8" x14ac:dyDescent="0.25">
      <c r="B33" s="384" t="s">
        <v>465</v>
      </c>
      <c r="C33" s="370"/>
      <c r="D33" s="370"/>
    </row>
    <row r="34" spans="2:7" s="33" customFormat="1" x14ac:dyDescent="0.25">
      <c r="B34" s="385" t="s">
        <v>374</v>
      </c>
      <c r="C34" s="365">
        <f>C23-C29</f>
        <v>-2536789</v>
      </c>
      <c r="D34" s="365">
        <f>D23-D29</f>
        <v>-1992863</v>
      </c>
    </row>
    <row r="35" spans="2:7" s="32" customFormat="1" ht="13.8" x14ac:dyDescent="0.25">
      <c r="B35" s="599" t="s">
        <v>467</v>
      </c>
      <c r="C35" s="599"/>
      <c r="D35" s="599"/>
      <c r="E35" s="35"/>
      <c r="F35" s="35"/>
      <c r="G35" s="35"/>
    </row>
    <row r="36" spans="2:7" s="38" customFormat="1" ht="13.8" x14ac:dyDescent="0.25">
      <c r="B36" s="386" t="s">
        <v>480</v>
      </c>
      <c r="C36" s="387">
        <f>SUM(C37:C40)</f>
        <v>559480</v>
      </c>
      <c r="D36" s="387">
        <f>SUM(D37:D40)</f>
        <v>0</v>
      </c>
      <c r="E36" s="35"/>
      <c r="F36" s="35"/>
      <c r="G36" s="35"/>
    </row>
    <row r="37" spans="2:7" s="33" customFormat="1" ht="20.399999999999999" x14ac:dyDescent="0.25">
      <c r="B37" s="384" t="s">
        <v>468</v>
      </c>
      <c r="C37" s="557">
        <v>539836</v>
      </c>
      <c r="D37" s="557"/>
    </row>
    <row r="38" spans="2:7" s="33" customFormat="1" x14ac:dyDescent="0.25">
      <c r="B38" s="384" t="s">
        <v>59</v>
      </c>
      <c r="C38" s="557">
        <v>19644</v>
      </c>
      <c r="D38" s="557"/>
    </row>
    <row r="39" spans="2:7" s="33" customFormat="1" x14ac:dyDescent="0.25">
      <c r="B39" s="384" t="s">
        <v>469</v>
      </c>
      <c r="C39" s="557"/>
      <c r="D39" s="557"/>
    </row>
    <row r="40" spans="2:7" s="33" customFormat="1" x14ac:dyDescent="0.25">
      <c r="B40" s="384" t="s">
        <v>470</v>
      </c>
      <c r="C40" s="557"/>
      <c r="D40" s="557"/>
    </row>
    <row r="41" spans="2:7" s="33" customFormat="1" x14ac:dyDescent="0.25">
      <c r="B41" s="383" t="s">
        <v>481</v>
      </c>
      <c r="C41" s="388">
        <f>SUM(C42:C50)</f>
        <v>204593</v>
      </c>
      <c r="D41" s="388">
        <f>SUM(D42:D50)</f>
        <v>92993</v>
      </c>
    </row>
    <row r="42" spans="2:7" s="33" customFormat="1" x14ac:dyDescent="0.25">
      <c r="B42" s="384" t="s">
        <v>471</v>
      </c>
      <c r="C42" s="557"/>
      <c r="D42" s="557"/>
    </row>
    <row r="43" spans="2:7" s="33" customFormat="1" x14ac:dyDescent="0.25">
      <c r="B43" s="384" t="s">
        <v>178</v>
      </c>
      <c r="C43" s="557">
        <v>160040</v>
      </c>
      <c r="D43" s="557">
        <v>33850</v>
      </c>
    </row>
    <row r="44" spans="2:7" s="33" customFormat="1" x14ac:dyDescent="0.25">
      <c r="B44" s="384" t="s">
        <v>179</v>
      </c>
      <c r="C44" s="654"/>
      <c r="D44" s="654"/>
    </row>
    <row r="45" spans="2:7" s="33" customFormat="1" x14ac:dyDescent="0.25">
      <c r="B45" s="384" t="s">
        <v>472</v>
      </c>
      <c r="C45" s="557"/>
      <c r="D45" s="557">
        <v>11754</v>
      </c>
    </row>
    <row r="46" spans="2:7" s="35" customFormat="1" ht="13.8" x14ac:dyDescent="0.25">
      <c r="B46" s="384" t="s">
        <v>473</v>
      </c>
      <c r="C46" s="558"/>
      <c r="D46" s="558"/>
    </row>
    <row r="47" spans="2:7" s="33" customFormat="1" x14ac:dyDescent="0.25">
      <c r="B47" s="384" t="s">
        <v>474</v>
      </c>
      <c r="C47" s="557"/>
      <c r="D47" s="557"/>
    </row>
    <row r="48" spans="2:7" s="33" customFormat="1" x14ac:dyDescent="0.25">
      <c r="B48" s="384" t="s">
        <v>475</v>
      </c>
      <c r="C48" s="557">
        <v>39102</v>
      </c>
      <c r="D48" s="557">
        <v>39782</v>
      </c>
    </row>
    <row r="49" spans="2:4" s="33" customFormat="1" x14ac:dyDescent="0.25">
      <c r="B49" s="384" t="s">
        <v>476</v>
      </c>
      <c r="C49" s="558">
        <v>5451</v>
      </c>
      <c r="D49" s="558">
        <v>7607</v>
      </c>
    </row>
    <row r="50" spans="2:4" s="33" customFormat="1" x14ac:dyDescent="0.25">
      <c r="B50" s="384" t="s">
        <v>477</v>
      </c>
      <c r="C50" s="558"/>
      <c r="D50" s="558"/>
    </row>
    <row r="51" spans="2:4" s="33" customFormat="1" x14ac:dyDescent="0.25">
      <c r="B51" s="385" t="s">
        <v>375</v>
      </c>
      <c r="C51" s="365">
        <f>C36-C41</f>
        <v>354887</v>
      </c>
      <c r="D51" s="365">
        <f>D36-D41</f>
        <v>-92993</v>
      </c>
    </row>
    <row r="52" spans="2:4" s="33" customFormat="1" x14ac:dyDescent="0.25">
      <c r="B52" s="389" t="s">
        <v>376</v>
      </c>
      <c r="C52" s="380">
        <f>C21+C34+C51</f>
        <v>633963.08999999985</v>
      </c>
      <c r="D52" s="380">
        <f>D21+D34+D51</f>
        <v>1145726.0199999996</v>
      </c>
    </row>
    <row r="53" spans="2:4" s="33" customFormat="1" x14ac:dyDescent="0.25">
      <c r="B53" s="389" t="s">
        <v>377</v>
      </c>
      <c r="C53" s="367">
        <v>633963</v>
      </c>
      <c r="D53" s="367">
        <v>1145726</v>
      </c>
    </row>
    <row r="54" spans="2:4" s="33" customFormat="1" x14ac:dyDescent="0.25">
      <c r="B54" s="390" t="s">
        <v>479</v>
      </c>
      <c r="C54" s="547"/>
      <c r="D54" s="547"/>
    </row>
    <row r="55" spans="2:4" s="33" customFormat="1" x14ac:dyDescent="0.25">
      <c r="B55" s="389" t="s">
        <v>378</v>
      </c>
      <c r="C55" s="367">
        <v>3590384</v>
      </c>
      <c r="D55" s="367">
        <v>2444658</v>
      </c>
    </row>
    <row r="56" spans="2:4" s="33" customFormat="1" x14ac:dyDescent="0.25">
      <c r="B56" s="389" t="s">
        <v>342</v>
      </c>
      <c r="C56" s="365">
        <f>C52+C55</f>
        <v>4224347.09</v>
      </c>
      <c r="D56" s="365">
        <f>D52+D55</f>
        <v>3590384.0199999996</v>
      </c>
    </row>
    <row r="57" spans="2:4" s="37" customFormat="1" x14ac:dyDescent="0.25">
      <c r="B57" s="20"/>
      <c r="C57" s="429"/>
      <c r="D57" s="430"/>
    </row>
    <row r="58" spans="2:4" s="37" customFormat="1" x14ac:dyDescent="0.25">
      <c r="B58" s="20"/>
      <c r="C58" s="429"/>
      <c r="D58" s="430"/>
    </row>
    <row r="59" spans="2:4" s="37" customFormat="1" x14ac:dyDescent="0.25">
      <c r="B59" s="20"/>
      <c r="C59" s="431"/>
      <c r="D59" s="430"/>
    </row>
    <row r="60" spans="2:4" s="37" customFormat="1" x14ac:dyDescent="0.25">
      <c r="B60" s="20"/>
      <c r="C60" s="429"/>
      <c r="D60" s="430"/>
    </row>
    <row r="61" spans="2:4" s="37" customFormat="1" x14ac:dyDescent="0.25">
      <c r="B61" s="20"/>
      <c r="C61" s="429"/>
      <c r="D61" s="430"/>
    </row>
    <row r="62" spans="2:4" s="37" customFormat="1" x14ac:dyDescent="0.25">
      <c r="B62" s="20"/>
      <c r="C62" s="431"/>
      <c r="D62" s="430"/>
    </row>
    <row r="63" spans="2:4" s="37" customFormat="1" ht="11.4" x14ac:dyDescent="0.2">
      <c r="B63" s="20"/>
      <c r="C63" s="430"/>
      <c r="D63" s="430"/>
    </row>
    <row r="64" spans="2:4" s="37" customFormat="1" ht="11.4" x14ac:dyDescent="0.2">
      <c r="B64" s="20"/>
      <c r="C64" s="430"/>
      <c r="D64" s="430"/>
    </row>
    <row r="65" spans="2:4" s="37" customFormat="1" ht="13.8" x14ac:dyDescent="0.25">
      <c r="B65" s="28"/>
      <c r="C65" s="430"/>
      <c r="D65" s="430"/>
    </row>
    <row r="66" spans="2:4" s="37" customFormat="1" ht="11.4" x14ac:dyDescent="0.2">
      <c r="B66" s="20"/>
      <c r="C66" s="430"/>
      <c r="D66" s="430"/>
    </row>
    <row r="67" spans="2:4" s="37" customFormat="1" ht="13.8" x14ac:dyDescent="0.25">
      <c r="B67" s="28"/>
      <c r="C67" s="430"/>
      <c r="D67" s="430"/>
    </row>
    <row r="68" spans="2:4" s="37" customFormat="1" ht="11.4" x14ac:dyDescent="0.2">
      <c r="B68" s="30"/>
      <c r="C68" s="430"/>
      <c r="D68" s="430"/>
    </row>
    <row r="69" spans="2:4" s="37" customFormat="1" ht="11.4" x14ac:dyDescent="0.2">
      <c r="B69" s="30"/>
      <c r="C69" s="430"/>
      <c r="D69" s="430"/>
    </row>
  </sheetData>
  <mergeCells count="1">
    <mergeCell ref="B4:D4"/>
  </mergeCells>
  <phoneticPr fontId="27" type="noConversion"/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8">
    <tabColor theme="0"/>
    <pageSetUpPr fitToPage="1"/>
  </sheetPr>
  <dimension ref="B3:T121"/>
  <sheetViews>
    <sheetView showGridLines="0" view="pageBreakPreview" topLeftCell="A94" zoomScaleNormal="100" zoomScaleSheetLayoutView="100" workbookViewId="0">
      <selection activeCell="A91" sqref="A91:XFD98"/>
    </sheetView>
  </sheetViews>
  <sheetFormatPr defaultColWidth="9.109375" defaultRowHeight="10.199999999999999" x14ac:dyDescent="0.2"/>
  <cols>
    <col min="1" max="1" width="2.33203125" style="149" customWidth="1"/>
    <col min="2" max="2" width="40.109375" style="149" customWidth="1"/>
    <col min="3" max="3" width="19.33203125" style="149" customWidth="1"/>
    <col min="4" max="4" width="19.44140625" style="149" customWidth="1"/>
    <col min="5" max="5" width="18.5546875" style="149" customWidth="1"/>
    <col min="6" max="6" width="12.5546875" style="149" customWidth="1"/>
    <col min="7" max="7" width="18.6640625" style="149" customWidth="1"/>
    <col min="8" max="8" width="11.5546875" style="149" customWidth="1"/>
    <col min="9" max="9" width="12.44140625" style="149" customWidth="1"/>
    <col min="10" max="10" width="13.33203125" style="149" customWidth="1"/>
    <col min="11" max="11" width="13.5546875" style="149" customWidth="1"/>
    <col min="12" max="12" width="13.88671875" style="149" bestFit="1" customWidth="1"/>
    <col min="13" max="13" width="14.33203125" style="149" customWidth="1"/>
    <col min="14" max="16384" width="9.109375" style="149"/>
  </cols>
  <sheetData>
    <row r="3" spans="2:4" ht="13.2" x14ac:dyDescent="0.25">
      <c r="B3" s="534" t="s">
        <v>702</v>
      </c>
    </row>
    <row r="4" spans="2:4" ht="11.4" x14ac:dyDescent="0.2">
      <c r="B4" s="532"/>
    </row>
    <row r="5" spans="2:4" x14ac:dyDescent="0.2">
      <c r="B5" s="126" t="s">
        <v>416</v>
      </c>
      <c r="C5" s="618" t="str">
        <f>'Dane podstawowe'!B7</f>
        <v>01.01.2016-31.12.2016</v>
      </c>
      <c r="D5" s="618" t="str">
        <f>'Dane podstawowe'!B12</f>
        <v>01.01.2015-31.12.2015</v>
      </c>
    </row>
    <row r="6" spans="2:4" ht="15" customHeight="1" x14ac:dyDescent="0.2">
      <c r="B6" s="470" t="s">
        <v>8</v>
      </c>
      <c r="C6" s="471"/>
      <c r="D6" s="471"/>
    </row>
    <row r="7" spans="2:4" ht="15" customHeight="1" x14ac:dyDescent="0.2">
      <c r="B7" s="472" t="s">
        <v>180</v>
      </c>
      <c r="C7" s="108"/>
      <c r="D7" s="108"/>
    </row>
    <row r="8" spans="2:4" ht="15" customHeight="1" x14ac:dyDescent="0.2">
      <c r="B8" s="472" t="s">
        <v>181</v>
      </c>
      <c r="C8" s="108"/>
      <c r="D8" s="108"/>
    </row>
    <row r="9" spans="2:4" ht="15" customHeight="1" x14ac:dyDescent="0.2">
      <c r="B9" s="472" t="s">
        <v>182</v>
      </c>
      <c r="C9" s="108">
        <f>RZiS!D4</f>
        <v>41342256</v>
      </c>
      <c r="D9" s="108">
        <f>RZiS!E4</f>
        <v>38260289</v>
      </c>
    </row>
    <row r="10" spans="2:4" ht="15" customHeight="1" x14ac:dyDescent="0.2">
      <c r="B10" s="52" t="s">
        <v>183</v>
      </c>
      <c r="C10" s="57">
        <f>SUM(C7:C9)</f>
        <v>41342256</v>
      </c>
      <c r="D10" s="57">
        <f>SUM(D7:D9)</f>
        <v>38260289</v>
      </c>
    </row>
    <row r="11" spans="2:4" ht="15" customHeight="1" x14ac:dyDescent="0.2">
      <c r="B11" s="472" t="s">
        <v>445</v>
      </c>
      <c r="C11" s="108">
        <f>RZiS!D18</f>
        <v>553255</v>
      </c>
      <c r="D11" s="108">
        <f>RZiS!E18</f>
        <v>251803</v>
      </c>
    </row>
    <row r="12" spans="2:4" ht="15" customHeight="1" x14ac:dyDescent="0.2">
      <c r="B12" s="472" t="s">
        <v>415</v>
      </c>
      <c r="C12" s="108">
        <f>RZiS!D22</f>
        <v>86443</v>
      </c>
      <c r="D12" s="108">
        <f>RZiS!E22</f>
        <v>88235</v>
      </c>
    </row>
    <row r="13" spans="2:4" ht="20.399999999999999" x14ac:dyDescent="0.2">
      <c r="B13" s="64" t="s">
        <v>270</v>
      </c>
      <c r="C13" s="57">
        <f>SUM(C10:C12)</f>
        <v>41981954</v>
      </c>
      <c r="D13" s="57">
        <f>SUM(D10:D12)</f>
        <v>38600327</v>
      </c>
    </row>
    <row r="14" spans="2:4" x14ac:dyDescent="0.2">
      <c r="B14" s="52" t="s">
        <v>271</v>
      </c>
      <c r="C14" s="57"/>
      <c r="D14" s="57"/>
    </row>
    <row r="15" spans="2:4" s="56" customFormat="1" ht="12.75" customHeight="1" x14ac:dyDescent="0.2">
      <c r="B15" s="52" t="s">
        <v>272</v>
      </c>
      <c r="C15" s="57">
        <f>C13+C14</f>
        <v>41981954</v>
      </c>
      <c r="D15" s="57">
        <f>D13+D14</f>
        <v>38600327</v>
      </c>
    </row>
    <row r="16" spans="2:4" s="56" customFormat="1" ht="12.75" customHeight="1" x14ac:dyDescent="0.2">
      <c r="B16" s="312"/>
      <c r="C16" s="392">
        <f>RZiS!D3+RZiS!D22+RZiS!D18-C15</f>
        <v>0</v>
      </c>
      <c r="D16" s="392">
        <f>RZiS!E3+RZiS!E22+RZiS!E18-D15</f>
        <v>0</v>
      </c>
    </row>
    <row r="17" spans="2:20" s="56" customFormat="1" ht="12.75" customHeight="1" x14ac:dyDescent="0.2">
      <c r="B17" s="46"/>
    </row>
    <row r="18" spans="2:20" s="56" customFormat="1" ht="12.75" customHeight="1" x14ac:dyDescent="0.2">
      <c r="B18" s="46"/>
    </row>
    <row r="19" spans="2:20" ht="13.2" x14ac:dyDescent="0.25">
      <c r="B19" s="534" t="s">
        <v>703</v>
      </c>
    </row>
    <row r="20" spans="2:20" s="244" customFormat="1" ht="15" customHeight="1" x14ac:dyDescent="0.2">
      <c r="B20" s="318" t="s">
        <v>887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</row>
    <row r="21" spans="2:20" s="531" customFormat="1" ht="15" customHeight="1" x14ac:dyDescent="0.25">
      <c r="B21" s="757" t="s">
        <v>959</v>
      </c>
      <c r="C21" s="757"/>
      <c r="D21" s="757" t="s">
        <v>8</v>
      </c>
      <c r="E21" s="757"/>
      <c r="F21" s="757"/>
      <c r="G21" s="757"/>
      <c r="H21" s="757"/>
      <c r="I21" s="757" t="s">
        <v>677</v>
      </c>
      <c r="J21" s="755" t="s">
        <v>701</v>
      </c>
      <c r="K21" s="755" t="s">
        <v>700</v>
      </c>
      <c r="L21" s="757" t="s">
        <v>491</v>
      </c>
    </row>
    <row r="22" spans="2:20" s="531" customFormat="1" ht="15" customHeight="1" x14ac:dyDescent="0.25">
      <c r="B22" s="757"/>
      <c r="C22" s="757"/>
      <c r="D22" s="602" t="s">
        <v>830</v>
      </c>
      <c r="E22" s="602" t="s">
        <v>831</v>
      </c>
      <c r="F22" s="602" t="s">
        <v>832</v>
      </c>
      <c r="G22" s="602" t="s">
        <v>833</v>
      </c>
      <c r="H22" s="602"/>
      <c r="I22" s="757"/>
      <c r="J22" s="756"/>
      <c r="K22" s="756"/>
      <c r="L22" s="757"/>
    </row>
    <row r="23" spans="2:20" s="244" customFormat="1" ht="15" customHeight="1" x14ac:dyDescent="0.2">
      <c r="B23" s="758" t="s">
        <v>369</v>
      </c>
      <c r="C23" s="583" t="s">
        <v>678</v>
      </c>
      <c r="D23" s="289">
        <v>8485775</v>
      </c>
      <c r="E23" s="379">
        <f>21024234+9717202</f>
        <v>30741436</v>
      </c>
      <c r="F23" s="379">
        <v>2090449</v>
      </c>
      <c r="G23" s="379">
        <v>24596</v>
      </c>
      <c r="H23" s="379"/>
      <c r="I23" s="379"/>
      <c r="J23" s="289"/>
      <c r="K23" s="379">
        <v>0</v>
      </c>
      <c r="L23" s="379">
        <v>41342256</v>
      </c>
      <c r="M23" s="165"/>
      <c r="N23" s="165"/>
      <c r="O23" s="165"/>
      <c r="P23" s="165"/>
      <c r="Q23" s="165"/>
      <c r="R23" s="165"/>
      <c r="S23" s="165"/>
      <c r="T23" s="165"/>
    </row>
    <row r="24" spans="2:20" s="244" customFormat="1" ht="24" customHeight="1" x14ac:dyDescent="0.2">
      <c r="B24" s="758"/>
      <c r="C24" s="583" t="s">
        <v>679</v>
      </c>
      <c r="D24" s="289">
        <v>1304759</v>
      </c>
      <c r="E24" s="379">
        <f>1948905+40885</f>
        <v>1989790</v>
      </c>
      <c r="F24" s="379">
        <v>5345233</v>
      </c>
      <c r="G24" s="379">
        <v>497794</v>
      </c>
      <c r="H24" s="379"/>
      <c r="I24" s="379"/>
      <c r="J24" s="289"/>
      <c r="K24" s="379">
        <f>SUM(D24:J24)</f>
        <v>9137576</v>
      </c>
      <c r="L24" s="379">
        <f>SUM(D24:J24)-K24</f>
        <v>0</v>
      </c>
      <c r="M24" s="165"/>
      <c r="N24" s="165"/>
      <c r="O24" s="165"/>
      <c r="P24" s="165"/>
      <c r="Q24" s="165"/>
      <c r="R24" s="165"/>
      <c r="S24" s="165"/>
      <c r="T24" s="165"/>
    </row>
    <row r="25" spans="2:20" s="244" customFormat="1" ht="24" customHeight="1" x14ac:dyDescent="0.2">
      <c r="B25" s="758" t="s">
        <v>680</v>
      </c>
      <c r="C25" s="583" t="s">
        <v>681</v>
      </c>
      <c r="D25" s="289">
        <v>8715750</v>
      </c>
      <c r="E25" s="379">
        <f>13679602+8047327</f>
        <v>21726929</v>
      </c>
      <c r="F25" s="379">
        <v>4596487</v>
      </c>
      <c r="G25" s="379">
        <v>573473</v>
      </c>
      <c r="H25" s="379"/>
      <c r="I25" s="379"/>
      <c r="J25" s="289"/>
      <c r="K25" s="379"/>
      <c r="L25" s="379">
        <f>SUM(D25:J25)</f>
        <v>35612639</v>
      </c>
      <c r="M25" s="165"/>
      <c r="N25" s="165"/>
      <c r="O25" s="165"/>
      <c r="P25" s="165"/>
      <c r="Q25" s="165"/>
      <c r="R25" s="165"/>
      <c r="S25" s="165"/>
      <c r="T25" s="165"/>
    </row>
    <row r="26" spans="2:20" s="244" customFormat="1" ht="24" customHeight="1" x14ac:dyDescent="0.2">
      <c r="B26" s="758"/>
      <c r="C26" s="583" t="s">
        <v>682</v>
      </c>
      <c r="D26" s="289">
        <v>1072903</v>
      </c>
      <c r="E26" s="379">
        <f>5445903+927106</f>
        <v>6373009</v>
      </c>
      <c r="F26" s="379">
        <v>1614298</v>
      </c>
      <c r="G26" s="379">
        <v>47391</v>
      </c>
      <c r="H26" s="379"/>
      <c r="I26" s="379"/>
      <c r="J26" s="289"/>
      <c r="K26" s="379">
        <f t="shared" ref="K26" si="0">SUM(D26:J26)</f>
        <v>9107601</v>
      </c>
      <c r="L26" s="379">
        <f>SUM(D26:J26)-K26</f>
        <v>0</v>
      </c>
      <c r="M26" s="165"/>
      <c r="N26" s="165"/>
      <c r="O26" s="165"/>
      <c r="P26" s="165"/>
      <c r="Q26" s="165"/>
      <c r="R26" s="165"/>
      <c r="S26" s="165"/>
      <c r="T26" s="165"/>
    </row>
    <row r="27" spans="2:20" s="244" customFormat="1" ht="15" customHeight="1" x14ac:dyDescent="0.2">
      <c r="B27" s="763" t="s">
        <v>683</v>
      </c>
      <c r="C27" s="763"/>
      <c r="D27" s="609">
        <f>D23+D24-D25-D26</f>
        <v>1881</v>
      </c>
      <c r="E27" s="609">
        <f t="shared" ref="E27:K27" si="1">E23+E24-E25-E26</f>
        <v>4631288</v>
      </c>
      <c r="F27" s="609">
        <f t="shared" si="1"/>
        <v>1224897</v>
      </c>
      <c r="G27" s="609">
        <f t="shared" si="1"/>
        <v>-98474</v>
      </c>
      <c r="H27" s="609">
        <f t="shared" si="1"/>
        <v>0</v>
      </c>
      <c r="I27" s="609">
        <f t="shared" si="1"/>
        <v>0</v>
      </c>
      <c r="J27" s="609">
        <f t="shared" si="1"/>
        <v>0</v>
      </c>
      <c r="K27" s="609">
        <f t="shared" si="1"/>
        <v>29975</v>
      </c>
      <c r="L27" s="609">
        <f>L23-L25</f>
        <v>5729617</v>
      </c>
      <c r="M27" s="165"/>
      <c r="N27" s="165"/>
      <c r="O27" s="165"/>
      <c r="P27" s="165"/>
      <c r="Q27" s="165"/>
      <c r="R27" s="165"/>
      <c r="S27" s="165"/>
      <c r="T27" s="165"/>
    </row>
    <row r="28" spans="2:20" s="244" customFormat="1" ht="15" customHeight="1" x14ac:dyDescent="0.2">
      <c r="B28" s="760" t="s">
        <v>445</v>
      </c>
      <c r="C28" s="760"/>
      <c r="D28" s="379">
        <v>308860</v>
      </c>
      <c r="E28" s="289">
        <f>227703+14089</f>
        <v>241792</v>
      </c>
      <c r="F28" s="379">
        <v>2530</v>
      </c>
      <c r="G28" s="379">
        <v>73</v>
      </c>
      <c r="H28" s="379"/>
      <c r="I28" s="379"/>
      <c r="J28" s="289"/>
      <c r="K28" s="379"/>
      <c r="L28" s="379">
        <f>SUM(D28:J28)</f>
        <v>553255</v>
      </c>
      <c r="M28" s="165"/>
      <c r="N28" s="165"/>
      <c r="O28" s="165"/>
      <c r="P28" s="165"/>
      <c r="Q28" s="165"/>
      <c r="R28" s="165"/>
      <c r="S28" s="165"/>
      <c r="T28" s="165"/>
    </row>
    <row r="29" spans="2:20" s="244" customFormat="1" ht="15" customHeight="1" x14ac:dyDescent="0.2">
      <c r="B29" s="764" t="s">
        <v>446</v>
      </c>
      <c r="C29" s="765"/>
      <c r="D29" s="379">
        <v>90981</v>
      </c>
      <c r="E29" s="289">
        <f>235183+568748</f>
        <v>803931</v>
      </c>
      <c r="F29" s="379">
        <v>46641</v>
      </c>
      <c r="G29" s="379">
        <v>3751</v>
      </c>
      <c r="H29" s="379"/>
      <c r="I29" s="379"/>
      <c r="J29" s="289"/>
      <c r="K29" s="379">
        <v>0</v>
      </c>
      <c r="L29" s="379">
        <f>SUM(D29:K29)</f>
        <v>945304</v>
      </c>
      <c r="M29" s="165"/>
      <c r="N29" s="165"/>
      <c r="O29" s="165"/>
      <c r="P29" s="165"/>
      <c r="Q29" s="165"/>
      <c r="R29" s="165"/>
      <c r="S29" s="165"/>
      <c r="T29" s="165"/>
    </row>
    <row r="30" spans="2:20" s="244" customFormat="1" ht="15" customHeight="1" x14ac:dyDescent="0.2">
      <c r="B30" s="610" t="s">
        <v>415</v>
      </c>
      <c r="C30" s="611"/>
      <c r="D30" s="379">
        <v>17441</v>
      </c>
      <c r="E30" s="289">
        <f>43854+20302</f>
        <v>64156</v>
      </c>
      <c r="F30" s="379">
        <v>4845</v>
      </c>
      <c r="G30" s="379">
        <v>1</v>
      </c>
      <c r="H30" s="379"/>
      <c r="I30" s="379"/>
      <c r="J30" s="289"/>
      <c r="K30" s="379"/>
      <c r="L30" s="379">
        <f>SUM(D30:K30)</f>
        <v>86443</v>
      </c>
      <c r="M30" s="165"/>
      <c r="N30" s="165"/>
      <c r="O30" s="165"/>
      <c r="P30" s="165"/>
      <c r="Q30" s="165"/>
      <c r="R30" s="165"/>
      <c r="S30" s="165"/>
      <c r="T30" s="165"/>
    </row>
    <row r="31" spans="2:20" s="244" customFormat="1" ht="15" customHeight="1" x14ac:dyDescent="0.2">
      <c r="B31" s="760" t="s">
        <v>658</v>
      </c>
      <c r="C31" s="760"/>
      <c r="D31" s="379">
        <f>128946-1466</f>
        <v>127480</v>
      </c>
      <c r="E31" s="289">
        <f>41778+10858</f>
        <v>52636</v>
      </c>
      <c r="F31" s="379">
        <v>6917</v>
      </c>
      <c r="G31" s="379">
        <v>110</v>
      </c>
      <c r="H31" s="379"/>
      <c r="I31" s="379"/>
      <c r="J31" s="289"/>
      <c r="K31" s="379"/>
      <c r="L31" s="379">
        <f>SUM(D31:J31)-K31</f>
        <v>187143</v>
      </c>
      <c r="M31" s="165"/>
      <c r="N31" s="165"/>
      <c r="O31" s="165"/>
      <c r="P31" s="165"/>
      <c r="Q31" s="165"/>
      <c r="R31" s="165"/>
      <c r="S31" s="165"/>
      <c r="T31" s="165"/>
    </row>
    <row r="32" spans="2:20" s="244" customFormat="1" ht="22.5" customHeight="1" x14ac:dyDescent="0.2">
      <c r="B32" s="760" t="s">
        <v>848</v>
      </c>
      <c r="C32" s="760"/>
      <c r="D32" s="289"/>
      <c r="E32" s="379"/>
      <c r="F32" s="379"/>
      <c r="G32" s="379"/>
      <c r="H32" s="379"/>
      <c r="I32" s="379"/>
      <c r="J32" s="289"/>
      <c r="K32" s="379"/>
      <c r="L32" s="379">
        <f>SUM(D32:J32)-K32</f>
        <v>0</v>
      </c>
      <c r="M32" s="165"/>
      <c r="N32" s="165"/>
      <c r="O32" s="165"/>
      <c r="P32" s="165"/>
      <c r="Q32" s="165"/>
      <c r="R32" s="165"/>
      <c r="S32" s="165"/>
      <c r="T32" s="165"/>
    </row>
    <row r="33" spans="2:20" s="244" customFormat="1" ht="47.25" customHeight="1" x14ac:dyDescent="0.2">
      <c r="B33" s="760" t="s">
        <v>849</v>
      </c>
      <c r="C33" s="760"/>
      <c r="D33" s="289"/>
      <c r="E33" s="379"/>
      <c r="F33" s="379"/>
      <c r="G33" s="379"/>
      <c r="H33" s="379"/>
      <c r="I33" s="379"/>
      <c r="J33" s="289"/>
      <c r="K33" s="379"/>
      <c r="L33" s="379">
        <f>SUM(D33:J33)-K33</f>
        <v>0</v>
      </c>
      <c r="M33" s="165"/>
      <c r="N33" s="165"/>
      <c r="O33" s="165"/>
      <c r="P33" s="165"/>
      <c r="Q33" s="165"/>
      <c r="R33" s="165"/>
      <c r="S33" s="165"/>
      <c r="T33" s="165"/>
    </row>
    <row r="34" spans="2:20" s="244" customFormat="1" ht="22.5" customHeight="1" x14ac:dyDescent="0.2">
      <c r="B34" s="760" t="s">
        <v>685</v>
      </c>
      <c r="C34" s="760"/>
      <c r="D34" s="379"/>
      <c r="E34" s="289"/>
      <c r="F34" s="379"/>
      <c r="G34" s="379"/>
      <c r="H34" s="379"/>
      <c r="I34" s="379"/>
      <c r="J34" s="289"/>
      <c r="K34" s="379"/>
      <c r="L34" s="379">
        <f>SUM(D34:J34)-K34</f>
        <v>0</v>
      </c>
      <c r="M34" s="165"/>
      <c r="N34" s="165"/>
      <c r="O34" s="165"/>
      <c r="P34" s="165"/>
      <c r="Q34" s="165"/>
      <c r="R34" s="165"/>
      <c r="S34" s="165"/>
      <c r="T34" s="165"/>
    </row>
    <row r="35" spans="2:20" s="244" customFormat="1" ht="30" customHeight="1" x14ac:dyDescent="0.2">
      <c r="B35" s="761" t="s">
        <v>757</v>
      </c>
      <c r="C35" s="762"/>
      <c r="D35" s="379">
        <v>1466</v>
      </c>
      <c r="E35" s="289"/>
      <c r="F35" s="379"/>
      <c r="G35" s="379"/>
      <c r="H35" s="379"/>
      <c r="I35" s="379"/>
      <c r="J35" s="289"/>
      <c r="K35" s="379"/>
      <c r="L35" s="379">
        <f>SUM(D35:K35)</f>
        <v>1466</v>
      </c>
      <c r="M35" s="165"/>
      <c r="N35" s="165"/>
      <c r="O35" s="165"/>
      <c r="P35" s="165"/>
      <c r="Q35" s="165"/>
      <c r="R35" s="165"/>
      <c r="S35" s="165"/>
      <c r="T35" s="165"/>
    </row>
    <row r="36" spans="2:20" s="244" customFormat="1" ht="15" customHeight="1" x14ac:dyDescent="0.2">
      <c r="B36" s="763" t="s">
        <v>684</v>
      </c>
      <c r="C36" s="763"/>
      <c r="D36" s="612">
        <f>D27+D28-D29+D30-D31-D34-D35</f>
        <v>108255</v>
      </c>
      <c r="E36" s="612">
        <f t="shared" ref="E36:K36" si="2">E27+E28-E29+E30-E31-E34-E35</f>
        <v>4080669</v>
      </c>
      <c r="F36" s="612">
        <f t="shared" si="2"/>
        <v>1178714</v>
      </c>
      <c r="G36" s="612">
        <f>G27+G28-G29+G30-G31-G34-G35</f>
        <v>-102261</v>
      </c>
      <c r="H36" s="612">
        <f t="shared" si="2"/>
        <v>0</v>
      </c>
      <c r="I36" s="612">
        <f t="shared" si="2"/>
        <v>0</v>
      </c>
      <c r="J36" s="612">
        <f t="shared" si="2"/>
        <v>0</v>
      </c>
      <c r="K36" s="612">
        <f t="shared" si="2"/>
        <v>29975</v>
      </c>
      <c r="L36" s="612">
        <f>L27+L28-L29+L30-L31-L34-L35</f>
        <v>5235402</v>
      </c>
      <c r="M36" s="392">
        <f>RZiS!D26</f>
        <v>5235402.08</v>
      </c>
      <c r="N36" s="165"/>
      <c r="O36" s="165"/>
      <c r="P36" s="165"/>
      <c r="Q36" s="165"/>
      <c r="R36" s="165"/>
      <c r="S36" s="165"/>
      <c r="T36" s="165"/>
    </row>
    <row r="37" spans="2:20" s="244" customFormat="1" ht="15" customHeight="1" x14ac:dyDescent="0.2">
      <c r="B37" s="760" t="s">
        <v>580</v>
      </c>
      <c r="C37" s="760"/>
      <c r="D37" s="379">
        <v>205116</v>
      </c>
      <c r="E37" s="289">
        <f>782530-22139</f>
        <v>760391</v>
      </c>
      <c r="F37" s="258">
        <v>286750</v>
      </c>
      <c r="G37" s="379">
        <v>4488</v>
      </c>
      <c r="H37" s="379"/>
      <c r="I37" s="379"/>
      <c r="J37" s="289"/>
      <c r="K37" s="379"/>
      <c r="L37" s="379">
        <f>SUM(D37:J37)-K37</f>
        <v>1256745</v>
      </c>
      <c r="M37" s="165"/>
      <c r="N37" s="165"/>
      <c r="O37" s="165"/>
      <c r="P37" s="165"/>
      <c r="Q37" s="165"/>
      <c r="R37" s="165"/>
      <c r="S37" s="165"/>
      <c r="T37" s="165"/>
    </row>
    <row r="38" spans="2:20" s="244" customFormat="1" ht="15" customHeight="1" x14ac:dyDescent="0.2">
      <c r="B38" s="764" t="s">
        <v>850</v>
      </c>
      <c r="C38" s="765"/>
      <c r="D38" s="659"/>
      <c r="E38" s="660">
        <f>283111+64817</f>
        <v>347928</v>
      </c>
      <c r="F38" s="661">
        <v>85348</v>
      </c>
      <c r="G38" s="659"/>
      <c r="H38" s="659"/>
      <c r="I38" s="659"/>
      <c r="J38" s="660"/>
      <c r="K38" s="659"/>
      <c r="L38" s="659">
        <f>E38+F38</f>
        <v>433276</v>
      </c>
      <c r="M38" s="392"/>
      <c r="N38" s="165"/>
      <c r="O38" s="165"/>
      <c r="P38" s="165"/>
      <c r="Q38" s="165"/>
      <c r="R38" s="165"/>
      <c r="S38" s="165"/>
      <c r="T38" s="165"/>
    </row>
    <row r="39" spans="2:20" s="244" customFormat="1" ht="15" customHeight="1" thickBot="1" x14ac:dyDescent="0.25">
      <c r="B39" s="766" t="s">
        <v>686</v>
      </c>
      <c r="C39" s="766"/>
      <c r="D39" s="613">
        <f>D36-D37-D38</f>
        <v>-96861</v>
      </c>
      <c r="E39" s="613">
        <f t="shared" ref="E39:G39" si="3">E36-E37-E38</f>
        <v>2972350</v>
      </c>
      <c r="F39" s="613">
        <f t="shared" si="3"/>
        <v>806616</v>
      </c>
      <c r="G39" s="613">
        <f t="shared" si="3"/>
        <v>-106749</v>
      </c>
      <c r="H39" s="613">
        <f t="shared" ref="H39:K39" si="4">H36-H37</f>
        <v>0</v>
      </c>
      <c r="I39" s="613">
        <f t="shared" si="4"/>
        <v>0</v>
      </c>
      <c r="J39" s="613">
        <f t="shared" si="4"/>
        <v>0</v>
      </c>
      <c r="K39" s="613">
        <f t="shared" si="4"/>
        <v>29975</v>
      </c>
      <c r="L39" s="613">
        <f>L36-L37-L38</f>
        <v>3545381</v>
      </c>
      <c r="M39" s="392">
        <f>RZiS!D34</f>
        <v>3545381.2199999997</v>
      </c>
      <c r="N39" s="165"/>
      <c r="O39" s="165"/>
      <c r="P39" s="165"/>
      <c r="Q39" s="165"/>
      <c r="R39" s="165"/>
      <c r="S39" s="165"/>
      <c r="T39" s="165"/>
    </row>
    <row r="40" spans="2:20" s="244" customFormat="1" ht="15" customHeight="1" x14ac:dyDescent="0.2">
      <c r="B40" s="759" t="s">
        <v>687</v>
      </c>
      <c r="C40" s="759"/>
      <c r="D40" s="662">
        <f>D41+D42</f>
        <v>10357059</v>
      </c>
      <c r="E40" s="662">
        <f t="shared" ref="E40:K40" si="5">E41+E42</f>
        <v>17075255</v>
      </c>
      <c r="F40" s="662">
        <f t="shared" si="5"/>
        <v>2050308</v>
      </c>
      <c r="G40" s="662">
        <f t="shared" si="5"/>
        <v>140151</v>
      </c>
      <c r="H40" s="662">
        <f t="shared" si="5"/>
        <v>0</v>
      </c>
      <c r="I40" s="662">
        <f t="shared" si="5"/>
        <v>0</v>
      </c>
      <c r="J40" s="662">
        <f t="shared" si="5"/>
        <v>0</v>
      </c>
      <c r="K40" s="662">
        <f t="shared" si="5"/>
        <v>0</v>
      </c>
      <c r="L40" s="662">
        <f t="shared" ref="L40:L45" si="6">SUM(D40:J40)-K40</f>
        <v>29622773</v>
      </c>
      <c r="M40" s="392"/>
      <c r="N40" s="165"/>
      <c r="O40" s="165"/>
      <c r="P40" s="165"/>
      <c r="Q40" s="165"/>
      <c r="R40" s="165"/>
      <c r="S40" s="165"/>
      <c r="T40" s="165"/>
    </row>
    <row r="41" spans="2:20" s="244" customFormat="1" ht="15" customHeight="1" x14ac:dyDescent="0.2">
      <c r="B41" s="760" t="s">
        <v>667</v>
      </c>
      <c r="C41" s="760"/>
      <c r="D41" s="379">
        <v>10357059</v>
      </c>
      <c r="E41" s="289">
        <f>12851453+4223802</f>
        <v>17075255</v>
      </c>
      <c r="F41" s="379">
        <v>2050308</v>
      </c>
      <c r="G41" s="379">
        <v>140151</v>
      </c>
      <c r="H41" s="379"/>
      <c r="I41" s="379"/>
      <c r="J41" s="289"/>
      <c r="K41" s="379"/>
      <c r="L41" s="379">
        <f t="shared" si="6"/>
        <v>29622773</v>
      </c>
      <c r="M41" s="392">
        <f>Aktywa!D27</f>
        <v>29622772.890000001</v>
      </c>
      <c r="N41" s="165"/>
      <c r="O41" s="165"/>
      <c r="P41" s="165"/>
      <c r="Q41" s="165"/>
      <c r="R41" s="165"/>
      <c r="S41" s="165"/>
      <c r="T41" s="165"/>
    </row>
    <row r="42" spans="2:20" s="244" customFormat="1" ht="15" customHeight="1" x14ac:dyDescent="0.2">
      <c r="B42" s="760" t="s">
        <v>688</v>
      </c>
      <c r="C42" s="760"/>
      <c r="D42" s="379"/>
      <c r="E42" s="289"/>
      <c r="F42" s="379"/>
      <c r="G42" s="379"/>
      <c r="H42" s="379"/>
      <c r="I42" s="379"/>
      <c r="J42" s="289"/>
      <c r="K42" s="379"/>
      <c r="L42" s="379">
        <f t="shared" si="6"/>
        <v>0</v>
      </c>
      <c r="M42" s="165"/>
      <c r="N42" s="165"/>
      <c r="O42" s="165"/>
      <c r="P42" s="165"/>
      <c r="Q42" s="165"/>
      <c r="R42" s="165"/>
      <c r="S42" s="165"/>
      <c r="T42" s="165"/>
    </row>
    <row r="43" spans="2:20" s="244" customFormat="1" ht="15" customHeight="1" x14ac:dyDescent="0.2">
      <c r="B43" s="763" t="s">
        <v>689</v>
      </c>
      <c r="C43" s="763"/>
      <c r="D43" s="662">
        <f>D44+D45</f>
        <v>1068265</v>
      </c>
      <c r="E43" s="662">
        <f t="shared" ref="E43:K43" si="7">E44+E45</f>
        <v>5009233</v>
      </c>
      <c r="F43" s="662">
        <f t="shared" si="7"/>
        <v>920758</v>
      </c>
      <c r="G43" s="662">
        <f t="shared" si="7"/>
        <v>147420</v>
      </c>
      <c r="H43" s="662">
        <f t="shared" si="7"/>
        <v>0</v>
      </c>
      <c r="I43" s="662">
        <f t="shared" si="7"/>
        <v>0</v>
      </c>
      <c r="J43" s="662">
        <f t="shared" si="7"/>
        <v>0</v>
      </c>
      <c r="K43" s="662">
        <f t="shared" si="7"/>
        <v>0</v>
      </c>
      <c r="L43" s="612">
        <f t="shared" si="6"/>
        <v>7145676</v>
      </c>
      <c r="M43" s="165"/>
      <c r="N43" s="165"/>
      <c r="O43" s="165"/>
      <c r="P43" s="165"/>
      <c r="Q43" s="165"/>
      <c r="R43" s="165"/>
      <c r="S43" s="165"/>
      <c r="T43" s="165"/>
    </row>
    <row r="44" spans="2:20" s="244" customFormat="1" ht="15" customHeight="1" x14ac:dyDescent="0.2">
      <c r="B44" s="760" t="s">
        <v>690</v>
      </c>
      <c r="C44" s="760"/>
      <c r="D44" s="379">
        <v>1068265</v>
      </c>
      <c r="E44" s="289">
        <v>5009233</v>
      </c>
      <c r="F44" s="379">
        <v>920758</v>
      </c>
      <c r="G44" s="379">
        <v>147420</v>
      </c>
      <c r="H44" s="379"/>
      <c r="I44" s="379"/>
      <c r="J44" s="289"/>
      <c r="K44" s="379"/>
      <c r="L44" s="379">
        <f t="shared" si="6"/>
        <v>7145676</v>
      </c>
      <c r="M44" s="392">
        <f>Pasywa!D13+Pasywa!D21</f>
        <v>7145676</v>
      </c>
      <c r="N44" s="165"/>
      <c r="O44" s="165"/>
      <c r="P44" s="165"/>
      <c r="Q44" s="165"/>
      <c r="R44" s="165"/>
      <c r="S44" s="165"/>
      <c r="T44" s="165"/>
    </row>
    <row r="45" spans="2:20" s="244" customFormat="1" ht="15.75" customHeight="1" thickBot="1" x14ac:dyDescent="0.25">
      <c r="B45" s="767" t="s">
        <v>691</v>
      </c>
      <c r="C45" s="767"/>
      <c r="D45" s="663">
        <v>0</v>
      </c>
      <c r="E45" s="664">
        <v>0</v>
      </c>
      <c r="F45" s="663">
        <v>0</v>
      </c>
      <c r="G45" s="663">
        <v>0</v>
      </c>
      <c r="H45" s="663"/>
      <c r="I45" s="663"/>
      <c r="J45" s="664"/>
      <c r="K45" s="663"/>
      <c r="L45" s="663">
        <f t="shared" si="6"/>
        <v>0</v>
      </c>
      <c r="M45" s="165"/>
      <c r="N45" s="165"/>
      <c r="O45" s="165"/>
      <c r="P45" s="165"/>
      <c r="Q45" s="165"/>
      <c r="R45" s="165"/>
      <c r="S45" s="165"/>
      <c r="T45" s="165"/>
    </row>
    <row r="46" spans="2:20" s="244" customFormat="1" ht="15" customHeight="1" x14ac:dyDescent="0.2">
      <c r="B46" s="768" t="s">
        <v>692</v>
      </c>
      <c r="C46" s="769"/>
      <c r="D46" s="665"/>
      <c r="E46" s="665"/>
      <c r="F46" s="665"/>
      <c r="G46" s="665"/>
      <c r="H46" s="665"/>
      <c r="I46" s="665"/>
      <c r="J46" s="665"/>
      <c r="K46" s="665"/>
      <c r="L46" s="666"/>
      <c r="M46" s="165"/>
      <c r="N46" s="165"/>
      <c r="O46" s="165"/>
      <c r="P46" s="165"/>
      <c r="Q46" s="165"/>
      <c r="R46" s="165"/>
      <c r="S46" s="165"/>
      <c r="T46" s="165"/>
    </row>
    <row r="47" spans="2:20" s="244" customFormat="1" ht="15" customHeight="1" x14ac:dyDescent="0.2">
      <c r="B47" s="770" t="s">
        <v>693</v>
      </c>
      <c r="C47" s="770"/>
      <c r="D47" s="667"/>
      <c r="E47" s="667"/>
      <c r="F47" s="667"/>
      <c r="G47" s="667"/>
      <c r="H47" s="667">
        <f t="shared" ref="H47:K47" si="8">H48+H49+H50</f>
        <v>0</v>
      </c>
      <c r="I47" s="667">
        <f t="shared" si="8"/>
        <v>0</v>
      </c>
      <c r="J47" s="667">
        <f t="shared" si="8"/>
        <v>0</v>
      </c>
      <c r="K47" s="667">
        <f t="shared" si="8"/>
        <v>0</v>
      </c>
      <c r="L47" s="667">
        <f t="shared" ref="L47:L53" si="9">SUM(D47:J47)-K47</f>
        <v>0</v>
      </c>
      <c r="M47" s="165"/>
      <c r="N47" s="165"/>
      <c r="O47" s="165"/>
      <c r="P47" s="165"/>
      <c r="Q47" s="165"/>
      <c r="R47" s="165"/>
      <c r="S47" s="165"/>
      <c r="T47" s="165"/>
    </row>
    <row r="48" spans="2:20" s="244" customFormat="1" ht="15" customHeight="1" x14ac:dyDescent="0.2">
      <c r="B48" s="754" t="s">
        <v>694</v>
      </c>
      <c r="C48" s="754"/>
      <c r="D48" s="379">
        <v>98141.07</v>
      </c>
      <c r="E48" s="289">
        <f>114581.64+57065.91</f>
        <v>171647.55</v>
      </c>
      <c r="F48" s="379">
        <v>12160.97</v>
      </c>
      <c r="G48" s="379">
        <v>0</v>
      </c>
      <c r="H48" s="379"/>
      <c r="I48" s="379"/>
      <c r="J48" s="289"/>
      <c r="K48" s="379"/>
      <c r="L48" s="379">
        <f t="shared" si="9"/>
        <v>281949.58999999997</v>
      </c>
      <c r="M48" s="165"/>
      <c r="N48" s="165"/>
      <c r="O48" s="165"/>
      <c r="P48" s="165"/>
      <c r="Q48" s="165"/>
      <c r="R48" s="165"/>
      <c r="S48" s="165"/>
      <c r="T48" s="165"/>
    </row>
    <row r="49" spans="2:20" s="244" customFormat="1" ht="15" customHeight="1" x14ac:dyDescent="0.2">
      <c r="B49" s="754" t="s">
        <v>695</v>
      </c>
      <c r="C49" s="754"/>
      <c r="D49" s="379">
        <v>831717.73</v>
      </c>
      <c r="E49" s="289">
        <f>80205+239618</f>
        <v>319823</v>
      </c>
      <c r="F49" s="379">
        <v>1113300</v>
      </c>
      <c r="G49" s="379">
        <v>0</v>
      </c>
      <c r="H49" s="379"/>
      <c r="I49" s="379"/>
      <c r="J49" s="289"/>
      <c r="K49" s="379"/>
      <c r="L49" s="379">
        <f t="shared" si="9"/>
        <v>2264840.73</v>
      </c>
      <c r="M49" s="165"/>
      <c r="N49" s="165"/>
      <c r="O49" s="165"/>
      <c r="P49" s="165"/>
      <c r="Q49" s="165"/>
      <c r="R49" s="165"/>
      <c r="S49" s="165"/>
      <c r="T49" s="165"/>
    </row>
    <row r="50" spans="2:20" s="244" customFormat="1" ht="15" customHeight="1" x14ac:dyDescent="0.2">
      <c r="B50" s="754" t="s">
        <v>696</v>
      </c>
      <c r="C50" s="754"/>
      <c r="D50" s="379"/>
      <c r="E50" s="289"/>
      <c r="F50" s="379"/>
      <c r="G50" s="379"/>
      <c r="H50" s="379"/>
      <c r="I50" s="379"/>
      <c r="J50" s="289"/>
      <c r="K50" s="379"/>
      <c r="L50" s="379">
        <f t="shared" si="9"/>
        <v>0</v>
      </c>
      <c r="M50" s="165"/>
      <c r="N50" s="165"/>
      <c r="O50" s="165"/>
      <c r="P50" s="165"/>
      <c r="Q50" s="165"/>
      <c r="R50" s="165"/>
      <c r="S50" s="165"/>
      <c r="T50" s="165"/>
    </row>
    <row r="51" spans="2:20" x14ac:dyDescent="0.2">
      <c r="B51" s="754" t="s">
        <v>697</v>
      </c>
      <c r="C51" s="754"/>
      <c r="D51" s="379">
        <f>147665.04+236785.03</f>
        <v>384450.07</v>
      </c>
      <c r="E51" s="289">
        <f>34791.99+24093.95+94454.81+9990.59</f>
        <v>163331.34</v>
      </c>
      <c r="F51" s="379">
        <f>3552.58+249486.58</f>
        <v>253039.15999999997</v>
      </c>
      <c r="G51" s="379">
        <f>6567.7+37800</f>
        <v>44367.7</v>
      </c>
      <c r="H51" s="379"/>
      <c r="I51" s="379"/>
      <c r="J51" s="289"/>
      <c r="K51" s="379"/>
      <c r="L51" s="379">
        <f t="shared" si="9"/>
        <v>845188.27</v>
      </c>
      <c r="M51" s="417">
        <f>RZiS!D8</f>
        <v>845188</v>
      </c>
      <c r="N51" s="478"/>
      <c r="O51" s="478"/>
      <c r="P51" s="478"/>
      <c r="Q51" s="478"/>
      <c r="R51" s="478"/>
      <c r="S51" s="478"/>
      <c r="T51" s="478"/>
    </row>
    <row r="52" spans="2:20" s="244" customFormat="1" ht="15" customHeight="1" x14ac:dyDescent="0.2">
      <c r="B52" s="754" t="s">
        <v>698</v>
      </c>
      <c r="C52" s="754"/>
      <c r="D52" s="379"/>
      <c r="E52" s="289"/>
      <c r="F52" s="379"/>
      <c r="G52" s="379"/>
      <c r="H52" s="379"/>
      <c r="I52" s="379"/>
      <c r="J52" s="289"/>
      <c r="K52" s="379"/>
      <c r="L52" s="379">
        <f t="shared" si="9"/>
        <v>0</v>
      </c>
      <c r="M52" s="417"/>
      <c r="N52" s="165"/>
      <c r="O52" s="165"/>
      <c r="P52" s="165"/>
      <c r="Q52" s="165"/>
      <c r="R52" s="165"/>
      <c r="S52" s="165"/>
      <c r="T52" s="165"/>
    </row>
    <row r="53" spans="2:20" s="244" customFormat="1" ht="15" customHeight="1" x14ac:dyDescent="0.2">
      <c r="B53" s="754" t="s">
        <v>699</v>
      </c>
      <c r="C53" s="754"/>
      <c r="D53" s="379">
        <v>0</v>
      </c>
      <c r="E53" s="289">
        <v>0</v>
      </c>
      <c r="F53" s="379">
        <v>0</v>
      </c>
      <c r="G53" s="379">
        <v>0</v>
      </c>
      <c r="H53" s="379"/>
      <c r="I53" s="379"/>
      <c r="J53" s="289"/>
      <c r="K53" s="379"/>
      <c r="L53" s="379">
        <f t="shared" si="9"/>
        <v>0</v>
      </c>
      <c r="M53" s="165"/>
      <c r="N53" s="165"/>
      <c r="O53" s="165"/>
      <c r="P53" s="165"/>
      <c r="Q53" s="165"/>
      <c r="R53" s="165"/>
      <c r="S53" s="165"/>
      <c r="T53" s="165"/>
    </row>
    <row r="54" spans="2:20" s="244" customFormat="1" ht="36" customHeight="1" x14ac:dyDescent="0.2">
      <c r="B54" s="288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</row>
    <row r="55" spans="2:20" s="244" customFormat="1" ht="15" customHeight="1" x14ac:dyDescent="0.2">
      <c r="B55" s="288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</row>
    <row r="56" spans="2:20" s="531" customFormat="1" ht="15" customHeight="1" x14ac:dyDescent="0.2">
      <c r="B56" s="318" t="s">
        <v>854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</row>
    <row r="57" spans="2:20" s="531" customFormat="1" ht="15" customHeight="1" x14ac:dyDescent="0.25">
      <c r="B57" s="757" t="s">
        <v>855</v>
      </c>
      <c r="C57" s="757"/>
      <c r="D57" s="757" t="s">
        <v>8</v>
      </c>
      <c r="E57" s="757"/>
      <c r="F57" s="757"/>
      <c r="G57" s="757"/>
      <c r="H57" s="757"/>
      <c r="I57" s="757" t="s">
        <v>677</v>
      </c>
      <c r="J57" s="755" t="s">
        <v>701</v>
      </c>
      <c r="K57" s="755" t="s">
        <v>700</v>
      </c>
      <c r="L57" s="757" t="s">
        <v>491</v>
      </c>
      <c r="M57" s="165"/>
    </row>
    <row r="58" spans="2:20" s="244" customFormat="1" ht="15" customHeight="1" x14ac:dyDescent="0.2">
      <c r="B58" s="757"/>
      <c r="C58" s="757"/>
      <c r="D58" s="668" t="s">
        <v>830</v>
      </c>
      <c r="E58" s="668" t="s">
        <v>831</v>
      </c>
      <c r="F58" s="668" t="s">
        <v>832</v>
      </c>
      <c r="G58" s="668" t="s">
        <v>833</v>
      </c>
      <c r="H58" s="668"/>
      <c r="I58" s="757"/>
      <c r="J58" s="756"/>
      <c r="K58" s="756"/>
      <c r="L58" s="757"/>
      <c r="M58" s="531"/>
      <c r="N58" s="165"/>
      <c r="O58" s="165"/>
      <c r="P58" s="165"/>
      <c r="Q58" s="165"/>
      <c r="R58" s="165"/>
      <c r="S58" s="165"/>
      <c r="T58" s="165"/>
    </row>
    <row r="59" spans="2:20" s="244" customFormat="1" ht="24" customHeight="1" x14ac:dyDescent="0.2">
      <c r="B59" s="758" t="s">
        <v>369</v>
      </c>
      <c r="C59" s="669" t="s">
        <v>678</v>
      </c>
      <c r="D59" s="289">
        <v>8067357</v>
      </c>
      <c r="E59" s="379">
        <f>15284577.48+13945816.04</f>
        <v>29230393.52</v>
      </c>
      <c r="F59" s="379">
        <v>879276.56</v>
      </c>
      <c r="G59" s="379">
        <v>83262.28</v>
      </c>
      <c r="H59" s="379"/>
      <c r="I59" s="379"/>
      <c r="J59" s="289"/>
      <c r="K59" s="379">
        <v>0</v>
      </c>
      <c r="L59" s="379">
        <f>SUM(D59:J59)-K59</f>
        <v>38260289.359999999</v>
      </c>
      <c r="M59" s="531"/>
      <c r="N59" s="165"/>
      <c r="O59" s="165"/>
      <c r="P59" s="165"/>
      <c r="Q59" s="165"/>
      <c r="R59" s="165"/>
      <c r="S59" s="165"/>
      <c r="T59" s="165"/>
    </row>
    <row r="60" spans="2:20" s="244" customFormat="1" ht="24" customHeight="1" x14ac:dyDescent="0.2">
      <c r="B60" s="758"/>
      <c r="C60" s="669" t="s">
        <v>679</v>
      </c>
      <c r="D60" s="289">
        <v>1396079.4</v>
      </c>
      <c r="E60" s="379">
        <f>1303084.57+71615.7</f>
        <v>1374700.27</v>
      </c>
      <c r="F60" s="379">
        <v>2142298.21</v>
      </c>
      <c r="G60" s="379">
        <v>317450.36</v>
      </c>
      <c r="H60" s="379"/>
      <c r="I60" s="379"/>
      <c r="J60" s="289"/>
      <c r="K60" s="379">
        <f>SUM(D60:J60)</f>
        <v>5230528.24</v>
      </c>
      <c r="L60" s="379">
        <f>SUM(D60:J60)-K60</f>
        <v>0</v>
      </c>
      <c r="M60" s="165"/>
      <c r="N60" s="165"/>
      <c r="O60" s="165"/>
      <c r="P60" s="165"/>
      <c r="Q60" s="165"/>
      <c r="R60" s="165"/>
      <c r="S60" s="165"/>
      <c r="T60" s="165"/>
    </row>
    <row r="61" spans="2:20" s="244" customFormat="1" ht="24" customHeight="1" x14ac:dyDescent="0.2">
      <c r="B61" s="758" t="s">
        <v>680</v>
      </c>
      <c r="C61" s="669" t="s">
        <v>681</v>
      </c>
      <c r="D61" s="289">
        <v>7700736.3700000001</v>
      </c>
      <c r="E61" s="379">
        <f>10879981.92+11144998</f>
        <v>22024979.920000002</v>
      </c>
      <c r="F61" s="379">
        <v>1644833.9</v>
      </c>
      <c r="G61" s="379">
        <v>552722.82999999996</v>
      </c>
      <c r="H61" s="379"/>
      <c r="I61" s="379"/>
      <c r="J61" s="289"/>
      <c r="K61" s="379"/>
      <c r="L61" s="379">
        <f>SUM(D61:J61)</f>
        <v>31923273.02</v>
      </c>
      <c r="M61" s="165"/>
      <c r="N61" s="165"/>
      <c r="O61" s="165"/>
      <c r="P61" s="165"/>
      <c r="Q61" s="165"/>
      <c r="R61" s="165"/>
      <c r="S61" s="165"/>
      <c r="T61" s="165"/>
    </row>
    <row r="62" spans="2:20" s="244" customFormat="1" ht="15" customHeight="1" x14ac:dyDescent="0.2">
      <c r="B62" s="758"/>
      <c r="C62" s="669" t="s">
        <v>682</v>
      </c>
      <c r="D62" s="289">
        <f>928802.24+89901.45</f>
        <v>1018703.69</v>
      </c>
      <c r="E62" s="379">
        <f>2528816.32+1087864.21+9160.68</f>
        <v>3625841.21</v>
      </c>
      <c r="F62" s="379">
        <v>567819.61</v>
      </c>
      <c r="G62" s="379">
        <v>18163.73</v>
      </c>
      <c r="H62" s="379"/>
      <c r="I62" s="379"/>
      <c r="J62" s="289"/>
      <c r="K62" s="379">
        <f t="shared" ref="K62" si="10">SUM(D62:J62)</f>
        <v>5230528.2400000012</v>
      </c>
      <c r="L62" s="379">
        <f>SUM(D62:J62)-K62</f>
        <v>0</v>
      </c>
      <c r="M62" s="165"/>
      <c r="N62" s="165"/>
      <c r="O62" s="165"/>
      <c r="P62" s="165"/>
      <c r="Q62" s="165"/>
      <c r="R62" s="165"/>
      <c r="S62" s="165"/>
      <c r="T62" s="165"/>
    </row>
    <row r="63" spans="2:20" s="244" customFormat="1" ht="15" customHeight="1" x14ac:dyDescent="0.2">
      <c r="B63" s="763" t="s">
        <v>683</v>
      </c>
      <c r="C63" s="763"/>
      <c r="D63" s="609">
        <f>D59+D60-D61-D62</f>
        <v>743996.34000000032</v>
      </c>
      <c r="E63" s="609">
        <f t="shared" ref="E63:K63" si="11">E59+E60-E61-E62</f>
        <v>4954272.6599999974</v>
      </c>
      <c r="F63" s="609">
        <f t="shared" si="11"/>
        <v>808921.26000000013</v>
      </c>
      <c r="G63" s="609">
        <f t="shared" si="11"/>
        <v>-170173.91999999995</v>
      </c>
      <c r="H63" s="609">
        <f t="shared" si="11"/>
        <v>0</v>
      </c>
      <c r="I63" s="609">
        <f t="shared" si="11"/>
        <v>0</v>
      </c>
      <c r="J63" s="609">
        <f t="shared" si="11"/>
        <v>0</v>
      </c>
      <c r="K63" s="609">
        <f t="shared" si="11"/>
        <v>0</v>
      </c>
      <c r="L63" s="609">
        <f>L59-L61</f>
        <v>6337016.3399999999</v>
      </c>
      <c r="M63" s="165"/>
      <c r="N63" s="165"/>
      <c r="O63" s="165"/>
      <c r="P63" s="165"/>
      <c r="Q63" s="165"/>
      <c r="R63" s="165"/>
      <c r="S63" s="165"/>
      <c r="T63" s="165"/>
    </row>
    <row r="64" spans="2:20" s="244" customFormat="1" ht="15" customHeight="1" x14ac:dyDescent="0.2">
      <c r="B64" s="760" t="s">
        <v>445</v>
      </c>
      <c r="C64" s="760"/>
      <c r="D64" s="379">
        <v>188662.45</v>
      </c>
      <c r="E64" s="289">
        <f>42089.69+4961.68</f>
        <v>47051.37</v>
      </c>
      <c r="F64" s="379">
        <v>10587.52</v>
      </c>
      <c r="G64" s="379">
        <v>5502.02</v>
      </c>
      <c r="H64" s="379"/>
      <c r="I64" s="379"/>
      <c r="J64" s="289"/>
      <c r="K64" s="379"/>
      <c r="L64" s="379">
        <f>SUM(D64:J64)</f>
        <v>251803.36</v>
      </c>
      <c r="M64" s="165"/>
      <c r="N64" s="165"/>
      <c r="O64" s="165"/>
      <c r="P64" s="165"/>
      <c r="Q64" s="165"/>
      <c r="R64" s="165"/>
      <c r="S64" s="165"/>
      <c r="T64" s="165"/>
    </row>
    <row r="65" spans="2:20" s="244" customFormat="1" ht="15" customHeight="1" x14ac:dyDescent="0.2">
      <c r="B65" s="764" t="s">
        <v>446</v>
      </c>
      <c r="C65" s="765"/>
      <c r="D65" s="379">
        <v>42617.47</v>
      </c>
      <c r="E65" s="289">
        <f>169472.38+55793.68</f>
        <v>225266.06</v>
      </c>
      <c r="F65" s="379">
        <v>2040.15</v>
      </c>
      <c r="G65" s="379">
        <v>71664.179999999993</v>
      </c>
      <c r="H65" s="379"/>
      <c r="I65" s="379"/>
      <c r="J65" s="289"/>
      <c r="K65" s="379">
        <v>0</v>
      </c>
      <c r="L65" s="379">
        <f>SUM(D65:K65)</f>
        <v>341587.86000000004</v>
      </c>
      <c r="M65" s="165"/>
      <c r="N65" s="165"/>
      <c r="O65" s="165"/>
      <c r="P65" s="165"/>
      <c r="Q65" s="165"/>
      <c r="R65" s="165"/>
      <c r="S65" s="165"/>
      <c r="T65" s="165"/>
    </row>
    <row r="66" spans="2:20" s="244" customFormat="1" ht="15" customHeight="1" x14ac:dyDescent="0.2">
      <c r="B66" s="670" t="s">
        <v>415</v>
      </c>
      <c r="C66" s="671"/>
      <c r="D66" s="379">
        <v>21787.05</v>
      </c>
      <c r="E66" s="289">
        <f>35341.01+29810.3</f>
        <v>65151.31</v>
      </c>
      <c r="F66" s="379">
        <v>1295.8</v>
      </c>
      <c r="G66" s="379">
        <v>0.51</v>
      </c>
      <c r="H66" s="379"/>
      <c r="I66" s="379"/>
      <c r="J66" s="289"/>
      <c r="K66" s="379"/>
      <c r="L66" s="379">
        <f>SUM(D66:K66)</f>
        <v>88234.67</v>
      </c>
      <c r="M66" s="165"/>
      <c r="N66" s="165"/>
      <c r="O66" s="165"/>
      <c r="P66" s="165"/>
      <c r="Q66" s="165"/>
      <c r="R66" s="165"/>
      <c r="S66" s="165"/>
      <c r="T66" s="165"/>
    </row>
    <row r="67" spans="2:20" s="244" customFormat="1" ht="22.5" customHeight="1" x14ac:dyDescent="0.2">
      <c r="B67" s="760" t="s">
        <v>658</v>
      </c>
      <c r="C67" s="760"/>
      <c r="D67" s="379">
        <v>869217.11</v>
      </c>
      <c r="E67" s="289">
        <f>19401.6+23472.69</f>
        <v>42874.289999999994</v>
      </c>
      <c r="F67" s="379">
        <v>1719.75</v>
      </c>
      <c r="G67" s="379">
        <v>91.39</v>
      </c>
      <c r="H67" s="379"/>
      <c r="I67" s="379"/>
      <c r="J67" s="289"/>
      <c r="K67" s="379"/>
      <c r="L67" s="379">
        <v>913902</v>
      </c>
      <c r="M67" s="165"/>
      <c r="N67" s="165"/>
      <c r="O67" s="165"/>
      <c r="P67" s="165"/>
      <c r="Q67" s="165"/>
      <c r="R67" s="165"/>
      <c r="S67" s="165"/>
      <c r="T67" s="165"/>
    </row>
    <row r="68" spans="2:20" s="244" customFormat="1" ht="47.25" customHeight="1" x14ac:dyDescent="0.2">
      <c r="B68" s="760" t="s">
        <v>848</v>
      </c>
      <c r="C68" s="760"/>
      <c r="D68" s="289"/>
      <c r="E68" s="379"/>
      <c r="F68" s="379"/>
      <c r="G68" s="379"/>
      <c r="H68" s="379"/>
      <c r="I68" s="379"/>
      <c r="J68" s="289"/>
      <c r="K68" s="379"/>
      <c r="L68" s="379">
        <f>SUM(D68:J68)-K68</f>
        <v>0</v>
      </c>
      <c r="M68" s="165"/>
      <c r="N68" s="165"/>
      <c r="O68" s="165"/>
      <c r="P68" s="165"/>
      <c r="Q68" s="165"/>
      <c r="R68" s="165"/>
      <c r="S68" s="165"/>
      <c r="T68" s="165"/>
    </row>
    <row r="69" spans="2:20" s="244" customFormat="1" ht="22.5" customHeight="1" x14ac:dyDescent="0.2">
      <c r="B69" s="760" t="s">
        <v>849</v>
      </c>
      <c r="C69" s="760"/>
      <c r="D69" s="289"/>
      <c r="E69" s="379"/>
      <c r="F69" s="379"/>
      <c r="G69" s="379"/>
      <c r="H69" s="379"/>
      <c r="I69" s="379"/>
      <c r="J69" s="289"/>
      <c r="K69" s="379"/>
      <c r="L69" s="379">
        <f>SUM(D69:J69)-K69</f>
        <v>0</v>
      </c>
      <c r="M69" s="165"/>
      <c r="N69" s="165"/>
      <c r="O69" s="165"/>
      <c r="P69" s="165"/>
      <c r="Q69" s="165"/>
      <c r="R69" s="165"/>
      <c r="S69" s="165"/>
      <c r="T69" s="165"/>
    </row>
    <row r="70" spans="2:20" s="244" customFormat="1" ht="23.25" customHeight="1" x14ac:dyDescent="0.2">
      <c r="B70" s="760" t="s">
        <v>685</v>
      </c>
      <c r="C70" s="760"/>
      <c r="D70" s="379">
        <v>96514</v>
      </c>
      <c r="E70" s="289"/>
      <c r="F70" s="379"/>
      <c r="G70" s="379"/>
      <c r="H70" s="379"/>
      <c r="I70" s="379"/>
      <c r="J70" s="289"/>
      <c r="K70" s="379"/>
      <c r="L70" s="379">
        <f>SUM(D70:J70)-K70</f>
        <v>96514</v>
      </c>
      <c r="M70" s="165"/>
      <c r="N70" s="165"/>
      <c r="O70" s="165"/>
      <c r="P70" s="165"/>
      <c r="Q70" s="165"/>
      <c r="R70" s="165"/>
      <c r="S70" s="165"/>
      <c r="T70" s="165"/>
    </row>
    <row r="71" spans="2:20" s="244" customFormat="1" ht="23.25" customHeight="1" x14ac:dyDescent="0.2">
      <c r="B71" s="761" t="s">
        <v>757</v>
      </c>
      <c r="C71" s="762"/>
      <c r="D71" s="379">
        <v>39542.5</v>
      </c>
      <c r="E71" s="289"/>
      <c r="F71" s="379"/>
      <c r="G71" s="379"/>
      <c r="H71" s="379"/>
      <c r="I71" s="379"/>
      <c r="J71" s="289"/>
      <c r="K71" s="379"/>
      <c r="L71" s="379">
        <f>SUM(D71:K71)</f>
        <v>39542.5</v>
      </c>
      <c r="M71" s="165"/>
      <c r="N71" s="165"/>
      <c r="O71" s="165"/>
      <c r="P71" s="165"/>
      <c r="Q71" s="165"/>
      <c r="R71" s="165"/>
      <c r="S71" s="165"/>
      <c r="T71" s="165"/>
    </row>
    <row r="72" spans="2:20" s="244" customFormat="1" ht="15" customHeight="1" x14ac:dyDescent="0.2">
      <c r="B72" s="763" t="s">
        <v>684</v>
      </c>
      <c r="C72" s="763"/>
      <c r="D72" s="612">
        <f>D63+D64-D65+D66-D67-D70-D71</f>
        <v>-93445.239999999641</v>
      </c>
      <c r="E72" s="612">
        <f t="shared" ref="E72:F72" si="12">E63+E64-E65+E66-E67-E70-E71</f>
        <v>4798334.9899999974</v>
      </c>
      <c r="F72" s="612">
        <f t="shared" si="12"/>
        <v>817044.68000000017</v>
      </c>
      <c r="G72" s="612">
        <f>G63+G64-G65+G66-G67-G70-G71</f>
        <v>-236426.95999999996</v>
      </c>
      <c r="H72" s="612">
        <f t="shared" ref="H72:K72" si="13">H63+H64-H65+H66-H67-H70-H71</f>
        <v>0</v>
      </c>
      <c r="I72" s="612">
        <f t="shared" si="13"/>
        <v>0</v>
      </c>
      <c r="J72" s="612">
        <f t="shared" si="13"/>
        <v>0</v>
      </c>
      <c r="K72" s="612">
        <f t="shared" si="13"/>
        <v>0</v>
      </c>
      <c r="L72" s="612">
        <v>5285507</v>
      </c>
      <c r="M72" s="392">
        <f>RZiS!E26</f>
        <v>5285507</v>
      </c>
      <c r="N72" s="165"/>
      <c r="O72" s="165"/>
      <c r="P72" s="165"/>
      <c r="Q72" s="165"/>
      <c r="R72" s="165"/>
      <c r="S72" s="165"/>
      <c r="T72" s="165"/>
    </row>
    <row r="73" spans="2:20" s="244" customFormat="1" ht="15" customHeight="1" x14ac:dyDescent="0.2">
      <c r="B73" s="760" t="s">
        <v>580</v>
      </c>
      <c r="C73" s="760"/>
      <c r="D73" s="379">
        <v>75951.25</v>
      </c>
      <c r="E73" s="289">
        <f>578269.35+503884.89</f>
        <v>1082154.24</v>
      </c>
      <c r="F73" s="258">
        <v>87832.85</v>
      </c>
      <c r="G73" s="379">
        <v>-9993.7999999999993</v>
      </c>
      <c r="H73" s="379"/>
      <c r="I73" s="379"/>
      <c r="J73" s="289"/>
      <c r="K73" s="379"/>
      <c r="L73" s="379">
        <f>SUM(D73:J73)-K73</f>
        <v>1235944.54</v>
      </c>
      <c r="M73" s="165"/>
      <c r="N73" s="165"/>
      <c r="O73" s="165"/>
      <c r="P73" s="165"/>
      <c r="Q73" s="165"/>
      <c r="R73" s="165"/>
      <c r="S73" s="165"/>
      <c r="T73" s="165"/>
    </row>
    <row r="74" spans="2:20" s="244" customFormat="1" ht="15" customHeight="1" x14ac:dyDescent="0.2">
      <c r="B74" s="764" t="s">
        <v>850</v>
      </c>
      <c r="C74" s="765"/>
      <c r="D74" s="659"/>
      <c r="E74" s="660">
        <f>136324.42+75502.9</f>
        <v>211827.32</v>
      </c>
      <c r="F74" s="661">
        <v>48173</v>
      </c>
      <c r="G74" s="659"/>
      <c r="H74" s="659"/>
      <c r="I74" s="659"/>
      <c r="J74" s="660"/>
      <c r="K74" s="659"/>
      <c r="L74" s="659">
        <f>E74+F74</f>
        <v>260000.32</v>
      </c>
      <c r="M74" s="165"/>
      <c r="N74" s="165"/>
      <c r="O74" s="165"/>
      <c r="P74" s="165"/>
      <c r="Q74" s="165"/>
      <c r="R74" s="165"/>
      <c r="S74" s="165"/>
      <c r="T74" s="165"/>
    </row>
    <row r="75" spans="2:20" s="244" customFormat="1" ht="15" customHeight="1" thickBot="1" x14ac:dyDescent="0.25">
      <c r="B75" s="766" t="s">
        <v>686</v>
      </c>
      <c r="C75" s="766"/>
      <c r="D75" s="613">
        <f>D72-D73-D74</f>
        <v>-169396.48999999964</v>
      </c>
      <c r="E75" s="613">
        <f t="shared" ref="E75:G75" si="14">E72-E73-E74</f>
        <v>3504353.4299999974</v>
      </c>
      <c r="F75" s="613">
        <f t="shared" si="14"/>
        <v>681038.83000000019</v>
      </c>
      <c r="G75" s="613">
        <f t="shared" si="14"/>
        <v>-226433.15999999997</v>
      </c>
      <c r="H75" s="613">
        <f t="shared" ref="H75:K75" si="15">H72-H73</f>
        <v>0</v>
      </c>
      <c r="I75" s="613">
        <f t="shared" si="15"/>
        <v>0</v>
      </c>
      <c r="J75" s="613">
        <f t="shared" si="15"/>
        <v>0</v>
      </c>
      <c r="K75" s="613">
        <f t="shared" si="15"/>
        <v>0</v>
      </c>
      <c r="L75" s="613">
        <f>L72-L73-L74</f>
        <v>3789562.14</v>
      </c>
      <c r="M75" s="392">
        <f>RZiS!E34</f>
        <v>3789562</v>
      </c>
      <c r="N75" s="165"/>
      <c r="O75" s="165"/>
      <c r="P75" s="165"/>
      <c r="Q75" s="165"/>
      <c r="R75" s="165"/>
      <c r="S75" s="165"/>
      <c r="T75" s="165"/>
    </row>
    <row r="76" spans="2:20" s="244" customFormat="1" ht="15" customHeight="1" x14ac:dyDescent="0.2">
      <c r="B76" s="759" t="s">
        <v>687</v>
      </c>
      <c r="C76" s="759"/>
      <c r="D76" s="662">
        <f>D77+D78</f>
        <v>9071014.0899999999</v>
      </c>
      <c r="E76" s="662">
        <f t="shared" ref="E76:K76" si="16">E77+E78</f>
        <v>15156261.49</v>
      </c>
      <c r="F76" s="662">
        <f t="shared" si="16"/>
        <v>1021272.11</v>
      </c>
      <c r="G76" s="662">
        <f t="shared" si="16"/>
        <v>174235.34</v>
      </c>
      <c r="H76" s="662">
        <f t="shared" si="16"/>
        <v>0</v>
      </c>
      <c r="I76" s="662">
        <f t="shared" si="16"/>
        <v>0</v>
      </c>
      <c r="J76" s="662">
        <f t="shared" si="16"/>
        <v>0</v>
      </c>
      <c r="K76" s="662">
        <f t="shared" si="16"/>
        <v>0</v>
      </c>
      <c r="L76" s="662">
        <f t="shared" ref="L76:L81" si="17">SUM(D76:J76)-K76</f>
        <v>25422783.029999997</v>
      </c>
      <c r="M76" s="392">
        <f>Aktywa!E27</f>
        <v>25422783</v>
      </c>
      <c r="N76" s="165"/>
      <c r="O76" s="165"/>
      <c r="P76" s="165"/>
      <c r="Q76" s="165"/>
      <c r="R76" s="165"/>
      <c r="S76" s="165"/>
      <c r="T76" s="165"/>
    </row>
    <row r="77" spans="2:20" s="244" customFormat="1" ht="15" customHeight="1" x14ac:dyDescent="0.2">
      <c r="B77" s="760" t="s">
        <v>667</v>
      </c>
      <c r="C77" s="760"/>
      <c r="D77" s="379">
        <v>9071014.0899999999</v>
      </c>
      <c r="E77" s="289">
        <f>9477446.59+5678814.9</f>
        <v>15156261.49</v>
      </c>
      <c r="F77" s="379">
        <v>1021272.11</v>
      </c>
      <c r="G77" s="379">
        <v>174235.34</v>
      </c>
      <c r="H77" s="379"/>
      <c r="I77" s="379"/>
      <c r="J77" s="289"/>
      <c r="K77" s="379"/>
      <c r="L77" s="379">
        <f t="shared" si="17"/>
        <v>25422783.029999997</v>
      </c>
      <c r="M77" s="165"/>
      <c r="N77" s="165"/>
      <c r="O77" s="165"/>
      <c r="P77" s="165"/>
      <c r="Q77" s="165"/>
      <c r="R77" s="165"/>
      <c r="S77" s="165"/>
      <c r="T77" s="165"/>
    </row>
    <row r="78" spans="2:20" s="244" customFormat="1" ht="15" customHeight="1" x14ac:dyDescent="0.2">
      <c r="B78" s="760" t="s">
        <v>688</v>
      </c>
      <c r="C78" s="760"/>
      <c r="D78" s="379"/>
      <c r="E78" s="289"/>
      <c r="F78" s="379"/>
      <c r="G78" s="379"/>
      <c r="H78" s="379"/>
      <c r="I78" s="379"/>
      <c r="J78" s="289"/>
      <c r="K78" s="379"/>
      <c r="L78" s="379">
        <f t="shared" si="17"/>
        <v>0</v>
      </c>
      <c r="M78" s="165"/>
      <c r="N78" s="165"/>
      <c r="O78" s="165"/>
      <c r="P78" s="165"/>
      <c r="Q78" s="165"/>
      <c r="R78" s="165"/>
      <c r="S78" s="165"/>
      <c r="T78" s="165"/>
    </row>
    <row r="79" spans="2:20" s="244" customFormat="1" ht="15" customHeight="1" x14ac:dyDescent="0.2">
      <c r="B79" s="763" t="s">
        <v>689</v>
      </c>
      <c r="C79" s="763"/>
      <c r="D79" s="662">
        <f>D80+D81</f>
        <v>979252.54</v>
      </c>
      <c r="E79" s="662">
        <f t="shared" ref="E79:K79" si="18">E80+E81</f>
        <v>4924037.66</v>
      </c>
      <c r="F79" s="662">
        <f t="shared" si="18"/>
        <v>481612.6</v>
      </c>
      <c r="G79" s="662">
        <f t="shared" si="18"/>
        <v>129963.5</v>
      </c>
      <c r="H79" s="662">
        <f t="shared" si="18"/>
        <v>0</v>
      </c>
      <c r="I79" s="662">
        <f t="shared" si="18"/>
        <v>0</v>
      </c>
      <c r="J79" s="662">
        <f t="shared" si="18"/>
        <v>0</v>
      </c>
      <c r="K79" s="662">
        <f t="shared" si="18"/>
        <v>0</v>
      </c>
      <c r="L79" s="612">
        <f t="shared" si="17"/>
        <v>6514866.2999999998</v>
      </c>
      <c r="M79" s="392">
        <f>Pasywa!E21+Pasywa!E13</f>
        <v>6514866</v>
      </c>
      <c r="N79" s="165"/>
      <c r="O79" s="165"/>
      <c r="P79" s="165"/>
      <c r="Q79" s="165"/>
      <c r="R79" s="165"/>
      <c r="S79" s="165"/>
      <c r="T79" s="165"/>
    </row>
    <row r="80" spans="2:20" s="244" customFormat="1" ht="15" customHeight="1" x14ac:dyDescent="0.2">
      <c r="B80" s="760" t="s">
        <v>690</v>
      </c>
      <c r="C80" s="760"/>
      <c r="D80" s="379">
        <v>979252.54</v>
      </c>
      <c r="E80" s="289">
        <f>1990416.46+2933621.2</f>
        <v>4924037.66</v>
      </c>
      <c r="F80" s="379">
        <v>481612.6</v>
      </c>
      <c r="G80" s="379">
        <v>129963.5</v>
      </c>
      <c r="H80" s="379"/>
      <c r="I80" s="379"/>
      <c r="J80" s="289"/>
      <c r="K80" s="379"/>
      <c r="L80" s="379">
        <f t="shared" si="17"/>
        <v>6514866.2999999998</v>
      </c>
      <c r="M80" s="165"/>
      <c r="N80" s="165"/>
      <c r="O80" s="165"/>
      <c r="P80" s="165"/>
      <c r="Q80" s="165"/>
      <c r="R80" s="165"/>
      <c r="S80" s="165"/>
      <c r="T80" s="165"/>
    </row>
    <row r="81" spans="2:20" s="244" customFormat="1" ht="15.75" customHeight="1" thickBot="1" x14ac:dyDescent="0.25">
      <c r="B81" s="767" t="s">
        <v>691</v>
      </c>
      <c r="C81" s="767"/>
      <c r="D81" s="663">
        <v>0</v>
      </c>
      <c r="E81" s="664">
        <v>0</v>
      </c>
      <c r="F81" s="663">
        <v>0</v>
      </c>
      <c r="G81" s="663">
        <v>0</v>
      </c>
      <c r="H81" s="663"/>
      <c r="I81" s="663"/>
      <c r="J81" s="664"/>
      <c r="K81" s="663"/>
      <c r="L81" s="663">
        <f t="shared" si="17"/>
        <v>0</v>
      </c>
      <c r="M81" s="165"/>
      <c r="N81" s="165"/>
      <c r="O81" s="165"/>
      <c r="P81" s="165"/>
      <c r="Q81" s="165"/>
      <c r="R81" s="165"/>
      <c r="S81" s="165"/>
      <c r="T81" s="165"/>
    </row>
    <row r="82" spans="2:20" s="244" customFormat="1" ht="15" customHeight="1" x14ac:dyDescent="0.2">
      <c r="B82" s="768" t="s">
        <v>692</v>
      </c>
      <c r="C82" s="769"/>
      <c r="D82" s="665"/>
      <c r="E82" s="665"/>
      <c r="F82" s="665"/>
      <c r="G82" s="665"/>
      <c r="H82" s="665"/>
      <c r="I82" s="665"/>
      <c r="J82" s="665"/>
      <c r="K82" s="665"/>
      <c r="L82" s="666"/>
      <c r="M82" s="165"/>
      <c r="N82" s="165"/>
      <c r="O82" s="165"/>
      <c r="P82" s="165"/>
      <c r="Q82" s="165"/>
      <c r="R82" s="165"/>
      <c r="S82" s="165"/>
      <c r="T82" s="165"/>
    </row>
    <row r="83" spans="2:20" s="244" customFormat="1" ht="15" customHeight="1" x14ac:dyDescent="0.2">
      <c r="B83" s="770" t="s">
        <v>693</v>
      </c>
      <c r="C83" s="770"/>
      <c r="D83" s="667"/>
      <c r="E83" s="667"/>
      <c r="F83" s="667"/>
      <c r="G83" s="667"/>
      <c r="H83" s="667">
        <f t="shared" ref="H83:K83" si="19">H84+H85+H86</f>
        <v>0</v>
      </c>
      <c r="I83" s="667">
        <f t="shared" si="19"/>
        <v>0</v>
      </c>
      <c r="J83" s="667">
        <f t="shared" si="19"/>
        <v>0</v>
      </c>
      <c r="K83" s="667">
        <f t="shared" si="19"/>
        <v>0</v>
      </c>
      <c r="L83" s="667">
        <f t="shared" ref="L83:L89" si="20">SUM(D83:J83)-K83</f>
        <v>0</v>
      </c>
      <c r="M83" s="165"/>
      <c r="N83" s="165"/>
      <c r="O83" s="165"/>
      <c r="P83" s="165"/>
      <c r="Q83" s="165"/>
      <c r="R83" s="165"/>
      <c r="S83" s="165"/>
      <c r="T83" s="165"/>
    </row>
    <row r="84" spans="2:20" s="244" customFormat="1" ht="15" customHeight="1" x14ac:dyDescent="0.2">
      <c r="B84" s="754" t="s">
        <v>694</v>
      </c>
      <c r="C84" s="754"/>
      <c r="D84" s="379">
        <v>351106.55</v>
      </c>
      <c r="E84" s="289">
        <f>85354.11+57230.05</f>
        <v>142584.16</v>
      </c>
      <c r="F84" s="379">
        <v>45588.5</v>
      </c>
      <c r="G84" s="379">
        <v>0</v>
      </c>
      <c r="H84" s="379"/>
      <c r="I84" s="379"/>
      <c r="J84" s="289"/>
      <c r="K84" s="379"/>
      <c r="L84" s="379">
        <f t="shared" si="20"/>
        <v>539279.21</v>
      </c>
      <c r="M84" s="165"/>
      <c r="N84" s="165"/>
      <c r="O84" s="165"/>
      <c r="P84" s="165"/>
      <c r="Q84" s="165"/>
      <c r="R84" s="165"/>
      <c r="S84" s="165"/>
      <c r="T84" s="165"/>
    </row>
    <row r="85" spans="2:20" s="244" customFormat="1" ht="15" customHeight="1" x14ac:dyDescent="0.2">
      <c r="B85" s="754" t="s">
        <v>695</v>
      </c>
      <c r="C85" s="754"/>
      <c r="D85" s="379">
        <v>276617.67</v>
      </c>
      <c r="E85" s="289">
        <f>461594.86+27171.55</f>
        <v>488766.41</v>
      </c>
      <c r="F85" s="379">
        <v>304142.38</v>
      </c>
      <c r="G85" s="379">
        <v>0</v>
      </c>
      <c r="H85" s="379"/>
      <c r="I85" s="379"/>
      <c r="J85" s="289"/>
      <c r="K85" s="379"/>
      <c r="L85" s="379">
        <f t="shared" si="20"/>
        <v>1069526.46</v>
      </c>
      <c r="M85" s="165"/>
      <c r="N85" s="165"/>
      <c r="O85" s="165"/>
      <c r="P85" s="165"/>
      <c r="Q85" s="165"/>
      <c r="R85" s="165"/>
      <c r="S85" s="165"/>
      <c r="T85" s="165"/>
    </row>
    <row r="86" spans="2:20" s="244" customFormat="1" ht="15" customHeight="1" x14ac:dyDescent="0.2">
      <c r="B86" s="754" t="s">
        <v>696</v>
      </c>
      <c r="C86" s="754"/>
      <c r="D86" s="379"/>
      <c r="E86" s="289"/>
      <c r="F86" s="379"/>
      <c r="G86" s="379"/>
      <c r="H86" s="379"/>
      <c r="I86" s="379"/>
      <c r="J86" s="289"/>
      <c r="K86" s="379"/>
      <c r="L86" s="379">
        <f t="shared" si="20"/>
        <v>0</v>
      </c>
      <c r="M86" s="165"/>
      <c r="N86" s="165"/>
      <c r="O86" s="165"/>
      <c r="P86" s="165"/>
      <c r="Q86" s="165"/>
      <c r="R86" s="165"/>
      <c r="S86" s="165"/>
      <c r="T86" s="165"/>
    </row>
    <row r="87" spans="2:20" x14ac:dyDescent="0.2">
      <c r="B87" s="754" t="s">
        <v>697</v>
      </c>
      <c r="C87" s="754"/>
      <c r="D87" s="379">
        <v>392819</v>
      </c>
      <c r="E87" s="289">
        <v>74734</v>
      </c>
      <c r="F87" s="379">
        <v>35290</v>
      </c>
      <c r="G87" s="379">
        <v>44202</v>
      </c>
      <c r="H87" s="379"/>
      <c r="I87" s="379"/>
      <c r="J87" s="289"/>
      <c r="K87" s="379"/>
      <c r="L87" s="379">
        <f t="shared" si="20"/>
        <v>547045</v>
      </c>
      <c r="M87" s="417">
        <f>RZiS!E8</f>
        <v>547045</v>
      </c>
      <c r="N87" s="478"/>
      <c r="O87" s="478"/>
      <c r="P87" s="478"/>
      <c r="Q87" s="478"/>
      <c r="R87" s="478"/>
      <c r="S87" s="478"/>
      <c r="T87" s="478"/>
    </row>
    <row r="88" spans="2:20" s="244" customFormat="1" ht="15" customHeight="1" x14ac:dyDescent="0.2">
      <c r="B88" s="754" t="s">
        <v>698</v>
      </c>
      <c r="C88" s="754"/>
      <c r="D88" s="379"/>
      <c r="E88" s="289"/>
      <c r="F88" s="379"/>
      <c r="G88" s="379"/>
      <c r="H88" s="379"/>
      <c r="I88" s="379"/>
      <c r="J88" s="289"/>
      <c r="K88" s="379"/>
      <c r="L88" s="379">
        <f t="shared" si="20"/>
        <v>0</v>
      </c>
      <c r="M88" s="165"/>
      <c r="N88" s="165"/>
      <c r="O88" s="165"/>
      <c r="P88" s="165"/>
      <c r="Q88" s="165"/>
      <c r="R88" s="165"/>
      <c r="S88" s="165"/>
      <c r="T88" s="165"/>
    </row>
    <row r="89" spans="2:20" s="244" customFormat="1" ht="15" customHeight="1" x14ac:dyDescent="0.2">
      <c r="B89" s="754" t="s">
        <v>699</v>
      </c>
      <c r="C89" s="754"/>
      <c r="D89" s="379">
        <v>0</v>
      </c>
      <c r="E89" s="289">
        <v>0</v>
      </c>
      <c r="F89" s="379">
        <v>0</v>
      </c>
      <c r="G89" s="379">
        <v>0</v>
      </c>
      <c r="H89" s="379"/>
      <c r="I89" s="379"/>
      <c r="J89" s="289"/>
      <c r="K89" s="379"/>
      <c r="L89" s="379">
        <f t="shared" si="20"/>
        <v>0</v>
      </c>
      <c r="M89" s="165"/>
      <c r="N89" s="165"/>
      <c r="O89" s="165"/>
      <c r="P89" s="165"/>
      <c r="Q89" s="165"/>
      <c r="R89" s="165"/>
      <c r="S89" s="165"/>
      <c r="T89" s="165"/>
    </row>
    <row r="90" spans="2:20" s="244" customFormat="1" ht="36" customHeight="1" x14ac:dyDescent="0.2">
      <c r="B90" s="288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</row>
    <row r="91" spans="2:20" s="244" customFormat="1" ht="15" customHeight="1" x14ac:dyDescent="0.2">
      <c r="B91" s="288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</row>
    <row r="92" spans="2:20" s="56" customFormat="1" x14ac:dyDescent="0.2">
      <c r="B92" s="288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</row>
    <row r="93" spans="2:20" s="65" customFormat="1" x14ac:dyDescent="0.2">
      <c r="B93" s="318" t="s">
        <v>905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</row>
    <row r="94" spans="2:20" s="56" customFormat="1" ht="25.2" customHeight="1" x14ac:dyDescent="0.2">
      <c r="B94" s="126" t="s">
        <v>416</v>
      </c>
      <c r="C94" s="606" t="s">
        <v>255</v>
      </c>
      <c r="D94" s="92" t="s">
        <v>399</v>
      </c>
      <c r="E94" s="653" t="s">
        <v>834</v>
      </c>
      <c r="F94" s="653" t="s">
        <v>835</v>
      </c>
      <c r="G94" s="65"/>
      <c r="H94" s="65"/>
      <c r="I94" s="65"/>
      <c r="J94" s="65"/>
      <c r="K94" s="65"/>
      <c r="L94" s="65"/>
    </row>
    <row r="95" spans="2:20" s="56" customFormat="1" ht="32.4" customHeight="1" x14ac:dyDescent="0.2">
      <c r="B95" s="48" t="s">
        <v>395</v>
      </c>
      <c r="C95" s="310">
        <f>RZiS!D3-3422838</f>
        <v>37919418</v>
      </c>
      <c r="D95" s="310">
        <f>SUM(E95:F95)</f>
        <v>3422837.93</v>
      </c>
      <c r="E95" s="310">
        <f>1138086.37+883330.6+214769.79+158374.24</f>
        <v>2394561</v>
      </c>
      <c r="F95" s="310">
        <f>234764.01+616375.7+94505.55+82631.67</f>
        <v>1028276.93</v>
      </c>
      <c r="G95" s="493"/>
    </row>
    <row r="96" spans="2:20" s="56" customFormat="1" ht="25.2" customHeight="1" x14ac:dyDescent="0.2">
      <c r="B96" s="48" t="s">
        <v>123</v>
      </c>
      <c r="C96" s="310"/>
      <c r="D96" s="310">
        <f>SUM(E96:F96)</f>
        <v>0</v>
      </c>
      <c r="E96" s="310"/>
      <c r="F96" s="310"/>
      <c r="G96" s="493"/>
    </row>
    <row r="97" spans="2:12" s="56" customFormat="1" ht="25.2" customHeight="1" x14ac:dyDescent="0.2">
      <c r="B97" s="48" t="s">
        <v>396</v>
      </c>
      <c r="C97" s="309"/>
      <c r="D97" s="310">
        <f>SUM(E97:F97)</f>
        <v>0</v>
      </c>
      <c r="E97" s="309"/>
      <c r="F97" s="309"/>
      <c r="G97" s="391"/>
    </row>
    <row r="98" spans="2:12" s="56" customFormat="1" ht="25.2" customHeight="1" x14ac:dyDescent="0.2">
      <c r="B98" s="48" t="s">
        <v>397</v>
      </c>
      <c r="C98" s="310"/>
      <c r="D98" s="310">
        <f>SUM(E98:F98)</f>
        <v>0</v>
      </c>
      <c r="E98" s="310"/>
      <c r="F98" s="310"/>
      <c r="G98" s="493"/>
    </row>
    <row r="99" spans="2:12" ht="25.2" customHeight="1" x14ac:dyDescent="0.2">
      <c r="B99" s="48" t="s">
        <v>398</v>
      </c>
      <c r="C99" s="309"/>
      <c r="D99" s="310">
        <f>SUM(E99:F99)</f>
        <v>0</v>
      </c>
      <c r="E99" s="309"/>
      <c r="F99" s="309"/>
      <c r="G99" s="391"/>
      <c r="H99" s="56"/>
      <c r="I99" s="56"/>
      <c r="J99" s="56"/>
      <c r="K99" s="56"/>
      <c r="L99" s="56"/>
    </row>
    <row r="101" spans="2:12" x14ac:dyDescent="0.2">
      <c r="B101" s="318" t="s">
        <v>856</v>
      </c>
      <c r="C101" s="56"/>
      <c r="D101" s="56"/>
      <c r="E101" s="56"/>
      <c r="F101" s="56"/>
      <c r="G101" s="56"/>
      <c r="H101" s="56"/>
      <c r="I101" s="56"/>
      <c r="J101" s="56"/>
    </row>
    <row r="102" spans="2:12" x14ac:dyDescent="0.2">
      <c r="B102" s="673" t="s">
        <v>416</v>
      </c>
      <c r="C102" s="672" t="s">
        <v>255</v>
      </c>
      <c r="D102" s="92" t="s">
        <v>399</v>
      </c>
      <c r="E102" s="672" t="s">
        <v>834</v>
      </c>
      <c r="F102" s="672" t="s">
        <v>835</v>
      </c>
      <c r="G102" s="56"/>
      <c r="H102" s="56"/>
      <c r="I102" s="56"/>
      <c r="J102" s="56"/>
    </row>
    <row r="103" spans="2:12" x14ac:dyDescent="0.2">
      <c r="B103" s="642" t="s">
        <v>395</v>
      </c>
      <c r="C103" s="310">
        <v>35275347</v>
      </c>
      <c r="D103" s="310">
        <v>2984942</v>
      </c>
      <c r="E103" s="310">
        <v>2347636</v>
      </c>
      <c r="F103" s="310">
        <v>637306</v>
      </c>
      <c r="G103" s="65"/>
    </row>
    <row r="104" spans="2:12" ht="36.75" customHeight="1" x14ac:dyDescent="0.2">
      <c r="B104" s="642" t="s">
        <v>123</v>
      </c>
      <c r="C104" s="310"/>
      <c r="D104" s="310">
        <f>SUM(E104:F104)</f>
        <v>0</v>
      </c>
      <c r="E104" s="310"/>
      <c r="F104" s="310"/>
      <c r="G104" s="493"/>
    </row>
    <row r="105" spans="2:12" ht="19.95" customHeight="1" x14ac:dyDescent="0.2">
      <c r="B105" s="642" t="s">
        <v>396</v>
      </c>
      <c r="C105" s="309"/>
      <c r="D105" s="310">
        <f>SUM(E105:F105)</f>
        <v>0</v>
      </c>
      <c r="E105" s="309"/>
      <c r="F105" s="309"/>
      <c r="G105" s="493"/>
    </row>
    <row r="106" spans="2:12" ht="28.5" customHeight="1" x14ac:dyDescent="0.2">
      <c r="B106" s="642" t="s">
        <v>397</v>
      </c>
      <c r="C106" s="310"/>
      <c r="D106" s="310">
        <f>SUM(E106:F106)</f>
        <v>0</v>
      </c>
      <c r="E106" s="310"/>
      <c r="F106" s="310"/>
      <c r="G106" s="493"/>
    </row>
    <row r="107" spans="2:12" x14ac:dyDescent="0.2">
      <c r="B107" s="642" t="s">
        <v>398</v>
      </c>
      <c r="C107" s="309"/>
      <c r="D107" s="310">
        <f>SUM(E107:F107)</f>
        <v>0</v>
      </c>
      <c r="E107" s="309"/>
      <c r="F107" s="309"/>
      <c r="G107" s="391"/>
    </row>
    <row r="108" spans="2:12" x14ac:dyDescent="0.2">
      <c r="B108" s="48" t="s">
        <v>398</v>
      </c>
      <c r="C108" s="309"/>
      <c r="D108" s="310">
        <f>SUM(E108:F108)</f>
        <v>0</v>
      </c>
      <c r="E108" s="309"/>
      <c r="F108" s="309"/>
      <c r="G108" s="493"/>
    </row>
    <row r="110" spans="2:12" x14ac:dyDescent="0.2">
      <c r="B110" s="68"/>
      <c r="C110" s="56"/>
      <c r="D110" s="56"/>
      <c r="E110" s="56"/>
      <c r="F110" s="56"/>
      <c r="G110" s="56"/>
      <c r="H110" s="56"/>
      <c r="I110" s="56"/>
      <c r="J110" s="56"/>
    </row>
    <row r="111" spans="2:12" ht="11.25" customHeight="1" x14ac:dyDescent="0.2"/>
    <row r="112" spans="2:12" x14ac:dyDescent="0.2">
      <c r="B112" s="68" t="s">
        <v>256</v>
      </c>
      <c r="C112" s="244"/>
      <c r="D112" s="244"/>
      <c r="E112" s="244"/>
      <c r="F112" s="244"/>
    </row>
    <row r="113" spans="2:6" x14ac:dyDescent="0.2">
      <c r="B113" s="68"/>
      <c r="C113" s="244"/>
      <c r="D113" s="244"/>
      <c r="E113" s="244"/>
      <c r="F113" s="244"/>
    </row>
    <row r="114" spans="2:6" x14ac:dyDescent="0.2">
      <c r="B114" s="750"/>
      <c r="C114" s="752" t="s">
        <v>884</v>
      </c>
      <c r="D114" s="753"/>
      <c r="E114" s="752" t="str">
        <f>'Dane podstawowe'!B12</f>
        <v>01.01.2015-31.12.2015</v>
      </c>
      <c r="F114" s="753"/>
    </row>
    <row r="115" spans="2:6" x14ac:dyDescent="0.2">
      <c r="B115" s="751"/>
      <c r="C115" s="605" t="s">
        <v>261</v>
      </c>
      <c r="D115" s="605" t="s">
        <v>257</v>
      </c>
      <c r="E115" s="605" t="s">
        <v>261</v>
      </c>
      <c r="F115" s="605" t="s">
        <v>257</v>
      </c>
    </row>
    <row r="116" spans="2:6" x14ac:dyDescent="0.2">
      <c r="B116" s="64" t="s">
        <v>258</v>
      </c>
      <c r="C116" s="311">
        <f>C95</f>
        <v>37919418</v>
      </c>
      <c r="D116" s="718">
        <f>C116/$C$120</f>
        <v>0.9172072773243074</v>
      </c>
      <c r="E116" s="311">
        <f>C103</f>
        <v>35275347</v>
      </c>
      <c r="F116" s="718">
        <f>E116/$E$120</f>
        <v>0.92198328663957552</v>
      </c>
    </row>
    <row r="117" spans="2:6" x14ac:dyDescent="0.2">
      <c r="B117" s="64" t="s">
        <v>259</v>
      </c>
      <c r="C117" s="311">
        <f>D95</f>
        <v>3422837.93</v>
      </c>
      <c r="D117" s="718">
        <f>C117/$C$120</f>
        <v>8.2792722675692654E-2</v>
      </c>
      <c r="E117" s="311">
        <f>SUM(E118:E119)</f>
        <v>2984942</v>
      </c>
      <c r="F117" s="718">
        <f t="shared" ref="F117:F120" si="21">E117/$E$120</f>
        <v>7.8016713360424428E-2</v>
      </c>
    </row>
    <row r="118" spans="2:6" x14ac:dyDescent="0.2">
      <c r="B118" s="63" t="s">
        <v>260</v>
      </c>
      <c r="C118" s="264">
        <f>E95</f>
        <v>2394561</v>
      </c>
      <c r="D118" s="718">
        <f>C118/$C$120</f>
        <v>5.7920424179426243E-2</v>
      </c>
      <c r="E118" s="264">
        <f>E103</f>
        <v>2347636</v>
      </c>
      <c r="F118" s="718">
        <f t="shared" si="21"/>
        <v>6.1359599244009889E-2</v>
      </c>
    </row>
    <row r="119" spans="2:6" x14ac:dyDescent="0.2">
      <c r="B119" s="63" t="s">
        <v>835</v>
      </c>
      <c r="C119" s="264">
        <f>F95</f>
        <v>1028276.93</v>
      </c>
      <c r="D119" s="718">
        <f>C119/$C$120</f>
        <v>2.4872298496266411E-2</v>
      </c>
      <c r="E119" s="264">
        <f>F103</f>
        <v>637306</v>
      </c>
      <c r="F119" s="718">
        <f t="shared" si="21"/>
        <v>1.6657114116414542E-2</v>
      </c>
    </row>
    <row r="120" spans="2:6" x14ac:dyDescent="0.2">
      <c r="B120" s="69" t="s">
        <v>26</v>
      </c>
      <c r="C120" s="311">
        <f>C116+C117</f>
        <v>41342255.93</v>
      </c>
      <c r="D120" s="718">
        <f>C120/$C$120</f>
        <v>1</v>
      </c>
      <c r="E120" s="311">
        <f>E116+E117</f>
        <v>38260289</v>
      </c>
      <c r="F120" s="718">
        <f t="shared" si="21"/>
        <v>1</v>
      </c>
    </row>
    <row r="121" spans="2:6" x14ac:dyDescent="0.2">
      <c r="C121" s="481">
        <f>RZiS!D3-C120</f>
        <v>7.0000000298023224E-2</v>
      </c>
      <c r="D121" s="490"/>
      <c r="E121" s="481">
        <f>[6]RZiS!E3-'[6]NOTA 1,2 - Przychody i segmenty'!E182</f>
        <v>0</v>
      </c>
      <c r="F121" s="490"/>
    </row>
  </sheetData>
  <mergeCells count="71">
    <mergeCell ref="B21:C22"/>
    <mergeCell ref="B31:C31"/>
    <mergeCell ref="B42:C42"/>
    <mergeCell ref="B43:C43"/>
    <mergeCell ref="B75:C75"/>
    <mergeCell ref="B63:C63"/>
    <mergeCell ref="B64:C64"/>
    <mergeCell ref="B68:C68"/>
    <mergeCell ref="B69:C69"/>
    <mergeCell ref="B67:C67"/>
    <mergeCell ref="B70:C70"/>
    <mergeCell ref="B71:C71"/>
    <mergeCell ref="B72:C72"/>
    <mergeCell ref="B73:C73"/>
    <mergeCell ref="B74:C74"/>
    <mergeCell ref="B65:C65"/>
    <mergeCell ref="B32:C32"/>
    <mergeCell ref="B33:C33"/>
    <mergeCell ref="B29:C29"/>
    <mergeCell ref="B23:B24"/>
    <mergeCell ref="B25:B26"/>
    <mergeCell ref="B27:C27"/>
    <mergeCell ref="B28:C28"/>
    <mergeCell ref="K21:K22"/>
    <mergeCell ref="J21:J22"/>
    <mergeCell ref="L21:L22"/>
    <mergeCell ref="D21:H21"/>
    <mergeCell ref="I21:I22"/>
    <mergeCell ref="B86:C86"/>
    <mergeCell ref="B87:C87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79:C79"/>
    <mergeCell ref="B80:C80"/>
    <mergeCell ref="B81:C81"/>
    <mergeCell ref="B82:C82"/>
    <mergeCell ref="B83:C83"/>
    <mergeCell ref="B77:C77"/>
    <mergeCell ref="B78:C78"/>
    <mergeCell ref="B34:C34"/>
    <mergeCell ref="B35:C35"/>
    <mergeCell ref="B85:C85"/>
    <mergeCell ref="B36:C36"/>
    <mergeCell ref="B37:C37"/>
    <mergeCell ref="B38:C38"/>
    <mergeCell ref="B39:C39"/>
    <mergeCell ref="B40:C40"/>
    <mergeCell ref="B41:C41"/>
    <mergeCell ref="B84:C84"/>
    <mergeCell ref="B53:C53"/>
    <mergeCell ref="K57:K58"/>
    <mergeCell ref="L57:L58"/>
    <mergeCell ref="B59:B60"/>
    <mergeCell ref="B61:B62"/>
    <mergeCell ref="B76:C76"/>
    <mergeCell ref="B57:C58"/>
    <mergeCell ref="D57:H57"/>
    <mergeCell ref="I57:I58"/>
    <mergeCell ref="J57:J58"/>
    <mergeCell ref="B114:B115"/>
    <mergeCell ref="C114:D114"/>
    <mergeCell ref="E114:F114"/>
    <mergeCell ref="B88:C88"/>
    <mergeCell ref="B89:C89"/>
  </mergeCells>
  <phoneticPr fontId="27" type="noConversion"/>
  <pageMargins left="0.7" right="0.7" top="0.75" bottom="0.75" header="0.3" footer="0.3"/>
  <pageSetup paperSize="9" scale="38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A0742EB5AE84F8541A83538216CA2" ma:contentTypeVersion="7" ma:contentTypeDescription="Utwórz nowy dokument." ma:contentTypeScope="" ma:versionID="a3d7bdb68db8835c122a6c1fb605f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4085628a59a80f6f21251454f0c026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33703A-D549-4781-8EEA-D6219AC17B5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AC376F-1668-4EF6-8AEA-3AA5FDCEF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629C00-9E27-4D81-A43F-E4058F52BE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35</vt:i4>
      </vt:variant>
      <vt:variant>
        <vt:lpstr>Zakresy nazwane</vt:lpstr>
      </vt:variant>
      <vt:variant>
        <vt:i4>33</vt:i4>
      </vt:variant>
    </vt:vector>
  </HeadingPairs>
  <TitlesOfParts>
    <vt:vector size="68" baseType="lpstr">
      <vt:lpstr>Dane podstawowe</vt:lpstr>
      <vt:lpstr>wybrane dane finansowe</vt:lpstr>
      <vt:lpstr>RZiS</vt:lpstr>
      <vt:lpstr>Skr. spr. z cał. dochodów</vt:lpstr>
      <vt:lpstr>Aktywa</vt:lpstr>
      <vt:lpstr>Pasywa</vt:lpstr>
      <vt:lpstr>ZZwK</vt:lpstr>
      <vt:lpstr>RPP</vt:lpstr>
      <vt:lpstr>NOTA 1,2 - Przychody i segmenty</vt:lpstr>
      <vt:lpstr>NOTA 3 - Koszty rodzajowe</vt:lpstr>
      <vt:lpstr>NOTA 4 - PPO i PKO</vt:lpstr>
      <vt:lpstr>NOTA 5 - PF i KF</vt:lpstr>
      <vt:lpstr>NOTA 6 - Podatek </vt:lpstr>
      <vt:lpstr>NOTA 7 - Zysk na 1 akcję</vt:lpstr>
      <vt:lpstr>NOTA 9 -Rzeczowe aktywa trwałe</vt:lpstr>
      <vt:lpstr>NOTA 10 -Wartości niematerialne</vt:lpstr>
      <vt:lpstr>NOTA 11 - Wartość firmy</vt:lpstr>
      <vt:lpstr>NOTA 12 - Inwest. jedn. stow.</vt:lpstr>
      <vt:lpstr>NOTA 13  - Akcje udziały w jed.</vt:lpstr>
      <vt:lpstr>NOTA 14 - Poz. akt. fin.</vt:lpstr>
      <vt:lpstr>NOTA 15,16 - Należności</vt:lpstr>
      <vt:lpstr>NOTA 17 - RMK</vt:lpstr>
      <vt:lpstr>NOTA 18 - Środki pieniężne</vt:lpstr>
      <vt:lpstr>NOTA  19,20,21,22- Kapitały</vt:lpstr>
      <vt:lpstr>NOTA 23 Kredyty i pożyczki</vt:lpstr>
      <vt:lpstr>NOTA 24 Zobowiązania finansowe</vt:lpstr>
      <vt:lpstr>NOTA 25,26 - Zob. hand i pozost</vt:lpstr>
      <vt:lpstr>NOTA 27 - RMP</vt:lpstr>
      <vt:lpstr>NOTA 28,29 - Rezerwy</vt:lpstr>
      <vt:lpstr>NOTA 31 - Zarządzanie kapitałem</vt:lpstr>
      <vt:lpstr>NOTA 33 - Podmioty powiązane</vt:lpstr>
      <vt:lpstr>NOTA 34- Wynagrodzenie kadry </vt:lpstr>
      <vt:lpstr>NOTA 35 - Sruktura zatrudnienia</vt:lpstr>
      <vt:lpstr>NOTA 40 - Wynagrodzenie BR</vt:lpstr>
      <vt:lpstr>NOTA 41 - Objasnienia do RPP</vt:lpstr>
      <vt:lpstr>Aktywa!Obszar_wydruku</vt:lpstr>
      <vt:lpstr>'NOTA  19,20,21,22- Kapitały'!Obszar_wydruku</vt:lpstr>
      <vt:lpstr>'NOTA 10 -Wartości niematerialne'!Obszar_wydruku</vt:lpstr>
      <vt:lpstr>'NOTA 11 - Wartość firmy'!Obszar_wydruku</vt:lpstr>
      <vt:lpstr>'NOTA 12 - Inwest. jedn. stow.'!Obszar_wydruku</vt:lpstr>
      <vt:lpstr>'NOTA 13  - Akcje udziały w jed.'!Obszar_wydruku</vt:lpstr>
      <vt:lpstr>'NOTA 14 - Poz. akt. fin.'!Obszar_wydruku</vt:lpstr>
      <vt:lpstr>'NOTA 15,16 - Należności'!Obszar_wydruku</vt:lpstr>
      <vt:lpstr>'NOTA 17 - RMK'!Obszar_wydruku</vt:lpstr>
      <vt:lpstr>'NOTA 18 - Środki pieniężne'!Obszar_wydruku</vt:lpstr>
      <vt:lpstr>'NOTA 23 Kredyty i pożyczki'!Obszar_wydruku</vt:lpstr>
      <vt:lpstr>'NOTA 24 Zobowiązania finansowe'!Obszar_wydruku</vt:lpstr>
      <vt:lpstr>'NOTA 25,26 - Zob. hand i pozost'!Obszar_wydruku</vt:lpstr>
      <vt:lpstr>'NOTA 27 - RMP'!Obszar_wydruku</vt:lpstr>
      <vt:lpstr>'NOTA 28,29 - Rezerwy'!Obszar_wydruku</vt:lpstr>
      <vt:lpstr>'NOTA 3 - Koszty rodzajowe'!Obszar_wydruku</vt:lpstr>
      <vt:lpstr>'NOTA 31 - Zarządzanie kapitałem'!Obszar_wydruku</vt:lpstr>
      <vt:lpstr>'NOTA 33 - Podmioty powiązane'!Obszar_wydruku</vt:lpstr>
      <vt:lpstr>'NOTA 34- Wynagrodzenie kadry '!Obszar_wydruku</vt:lpstr>
      <vt:lpstr>'NOTA 35 - Sruktura zatrudnienia'!Obszar_wydruku</vt:lpstr>
      <vt:lpstr>'NOTA 4 - PPO i PKO'!Obszar_wydruku</vt:lpstr>
      <vt:lpstr>'NOTA 40 - Wynagrodzenie BR'!Obszar_wydruku</vt:lpstr>
      <vt:lpstr>'NOTA 41 - Objasnienia do RPP'!Obszar_wydruku</vt:lpstr>
      <vt:lpstr>'NOTA 5 - PF i KF'!Obszar_wydruku</vt:lpstr>
      <vt:lpstr>'NOTA 6 - Podatek '!Obszar_wydruku</vt:lpstr>
      <vt:lpstr>'NOTA 7 - Zysk na 1 akcję'!Obszar_wydruku</vt:lpstr>
      <vt:lpstr>'NOTA 9 -Rzeczowe aktywa trwałe'!Obszar_wydruku</vt:lpstr>
      <vt:lpstr>Pasywa!Obszar_wydruku</vt:lpstr>
      <vt:lpstr>RPP!Obszar_wydruku</vt:lpstr>
      <vt:lpstr>RZiS!Obszar_wydruku</vt:lpstr>
      <vt:lpstr>'Skr. spr. z cał. dochodów'!Obszar_wydruku</vt:lpstr>
      <vt:lpstr>'wybrane dane finansowe'!Obszar_wydruku</vt:lpstr>
      <vt:lpstr>ZZwK!Obszar_wydruku</vt:lpstr>
    </vt:vector>
  </TitlesOfParts>
  <Company>CONSULT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Szymańska</dc:creator>
  <cp:lastModifiedBy>Tomasz Skupień</cp:lastModifiedBy>
  <cp:lastPrinted>2017-03-10T15:27:58Z</cp:lastPrinted>
  <dcterms:created xsi:type="dcterms:W3CDTF">2007-11-12T12:49:29Z</dcterms:created>
  <dcterms:modified xsi:type="dcterms:W3CDTF">2021-07-22T12:17:51Z</dcterms:modified>
</cp:coreProperties>
</file>