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64" tabRatio="924" activeTab="1"/>
  </bookViews>
  <sheets>
    <sheet name="Dane podstawowe" sheetId="1" r:id="rId1"/>
    <sheet name="wybrane dane finansowe" sheetId="2" r:id="rId2"/>
    <sheet name="RZiS" sheetId="3" r:id="rId3"/>
    <sheet name="Skr. spr. z cał. dochodów" sheetId="4" r:id="rId4"/>
    <sheet name="Aktywa" sheetId="5" r:id="rId5"/>
    <sheet name="Pasywa" sheetId="6" r:id="rId6"/>
    <sheet name="ZZwK" sheetId="7" r:id="rId7"/>
    <sheet name="RPP" sheetId="8" r:id="rId8"/>
    <sheet name="NOTA 1,2 - Przychody i segmenty" sheetId="9" r:id="rId9"/>
    <sheet name="NOTA 3 - Koszty rodzajowe" sheetId="10" r:id="rId10"/>
    <sheet name="NOTA 4 - PPO i PKO" sheetId="11" r:id="rId11"/>
    <sheet name="NOTA 5 - PF i KF" sheetId="12" r:id="rId12"/>
    <sheet name="NOTA 6 - Podatek " sheetId="13" r:id="rId13"/>
    <sheet name="NOTA 7 - Zysk na 1 akcję" sheetId="14" r:id="rId14"/>
    <sheet name="NOTA 9 -Rzeczowe aktywa trwałe" sheetId="15" r:id="rId15"/>
    <sheet name="NOTA 10 -Wartości niematerialne" sheetId="16" r:id="rId16"/>
    <sheet name="NOTA 11 - Inw. w jedn. podporz." sheetId="17" r:id="rId17"/>
    <sheet name="NOTA 12- Poz. aktywa finansowe" sheetId="18" r:id="rId18"/>
    <sheet name="NOTA 13,14- Należności" sheetId="19" r:id="rId19"/>
    <sheet name="NOTA 15 - RMK" sheetId="20" r:id="rId20"/>
    <sheet name="NOTA 16 - Środki pieniężne" sheetId="21" r:id="rId21"/>
    <sheet name="NOTA 17,18,19 - Kapitały" sheetId="22" r:id="rId22"/>
    <sheet name="NOTA 20 - Kredyty i pożyczki" sheetId="23" r:id="rId23"/>
    <sheet name="NOTA 21 Zobowiązania finansowe" sheetId="24" r:id="rId24"/>
    <sheet name="NOTA 22,23 - Zob. hand. i pozos" sheetId="25" r:id="rId25"/>
    <sheet name="NOTA 24 - RMP" sheetId="26" r:id="rId26"/>
    <sheet name="NOTA 25,26 - Rezerwy" sheetId="27" r:id="rId27"/>
    <sheet name="NOTA 28 - Zarządzanie kapitałem" sheetId="28" r:id="rId28"/>
    <sheet name="NOTA 29 - Podmioty powiązane" sheetId="29" r:id="rId29"/>
    <sheet name="NOTA 30 - Wynagrodzenie kadry " sheetId="30" r:id="rId30"/>
    <sheet name="NOTA 31 - Sruktura zatrudnienia" sheetId="31" r:id="rId31"/>
    <sheet name="NOTA 37 - Wynagrodzenie BR" sheetId="32" r:id="rId32"/>
    <sheet name="NOTA 38 - Objasnienia do RPP" sheetId="33" r:id="rId33"/>
  </sheets>
  <externalReferences>
    <externalReference r:id="rId36"/>
    <externalReference r:id="rId37"/>
    <externalReference r:id="rId38"/>
  </externalReferences>
  <definedNames>
    <definedName name="_xlnm.Print_Area" localSheetId="4">'Aktywa'!$B$2:$E$24</definedName>
    <definedName name="_xlnm.Print_Area" localSheetId="8">'NOTA 1,2 - Przychody i segmenty'!$A$2:$L$20</definedName>
    <definedName name="_xlnm.Print_Area" localSheetId="15">'NOTA 10 -Wartości niematerialne'!$A$2:$I$92</definedName>
    <definedName name="_xlnm.Print_Area" localSheetId="16">'NOTA 11 - Inw. w jedn. podporz.'!$A$2:$I$112</definedName>
    <definedName name="_xlnm.Print_Area" localSheetId="17">'NOTA 12- Poz. aktywa finansowe'!$A$2:$G$84</definedName>
    <definedName name="_xlnm.Print_Area" localSheetId="18">'NOTA 13,14- Należności'!$A$2:$I$99</definedName>
    <definedName name="_xlnm.Print_Area" localSheetId="19">'NOTA 15 - RMK'!$A$2:$C$14</definedName>
    <definedName name="_xlnm.Print_Area" localSheetId="20">'NOTA 16 - Środki pieniężne'!$A$2:$C$14</definedName>
    <definedName name="_xlnm.Print_Area" localSheetId="21">'NOTA 17,18,19 - Kapitały'!$B$2:$I$117</definedName>
    <definedName name="_xlnm.Print_Area" localSheetId="22">'NOTA 20 - Kredyty i pożyczki'!$A$2:$F$39</definedName>
    <definedName name="_xlnm.Print_Area" localSheetId="23">'NOTA 21 Zobowiązania finansowe'!$A$2:$G$25</definedName>
    <definedName name="_xlnm.Print_Area" localSheetId="24">'NOTA 22,23 - Zob. hand. i pozos'!$A$2:$I$58</definedName>
    <definedName name="_xlnm.Print_Area" localSheetId="25">'NOTA 24 - RMP'!$A$2:$E$21</definedName>
    <definedName name="_xlnm.Print_Area" localSheetId="26">'NOTA 25,26 - Rezerwy'!$A$2:$E$45</definedName>
    <definedName name="_xlnm.Print_Area" localSheetId="27">'NOTA 28 - Zarządzanie kapitałem'!$A$2:$C$15</definedName>
    <definedName name="_xlnm.Print_Area" localSheetId="28">'NOTA 29 - Podmioty powiązane'!$A$2:$M$23</definedName>
    <definedName name="_xlnm.Print_Area" localSheetId="9">'NOTA 3 - Koszty rodzajowe'!$A$2:$C$22</definedName>
    <definedName name="_xlnm.Print_Area" localSheetId="29">'NOTA 30 - Wynagrodzenie kadry '!$A$2:$D$34</definedName>
    <definedName name="_xlnm.Print_Area" localSheetId="30">'NOTA 31 - Sruktura zatrudnienia'!$A$2:$C$20</definedName>
    <definedName name="_xlnm.Print_Area" localSheetId="31">'NOTA 37 - Wynagrodzenie BR'!$A$2:$E$9</definedName>
    <definedName name="_xlnm.Print_Area" localSheetId="32">'NOTA 38 - Objasnienia do RPP'!$A$2:$C$71</definedName>
    <definedName name="_xlnm.Print_Area" localSheetId="10">'NOTA 4 - PPO i PKO'!$A$2:$C$34</definedName>
    <definedName name="_xlnm.Print_Area" localSheetId="11">'NOTA 5 - PF i KF'!$A$2:$I$34</definedName>
    <definedName name="_xlnm.Print_Area" localSheetId="12">'NOTA 6 - Podatek '!$A$2:$E$81</definedName>
    <definedName name="_xlnm.Print_Area" localSheetId="13">'NOTA 7 - Zysk na 1 akcję'!$A$2:$G$25</definedName>
    <definedName name="_xlnm.Print_Area" localSheetId="14">'NOTA 9 -Rzeczowe aktywa trwałe'!$A$2:$H$129</definedName>
    <definedName name="_xlnm.Print_Area" localSheetId="5">'Pasywa'!$B$2:$E$28</definedName>
    <definedName name="_xlnm.Print_Area" localSheetId="7">'RPP'!$B$2:$D$52</definedName>
    <definedName name="_xlnm.Print_Area" localSheetId="2">'RZiS'!$C$2:$F$37</definedName>
    <definedName name="_xlnm.Print_Area" localSheetId="3">'Skr. spr. z cał. dochodów'!$B$2:$E$15</definedName>
    <definedName name="_xlnm.Print_Area" localSheetId="1">'wybrane dane finansowe'!$A$2:$E$34</definedName>
    <definedName name="_xlnm.Print_Area" localSheetId="6">'ZZwK'!$B$2:$I$29</definedName>
    <definedName name="OdDo">'[2]Dane'!$BB$58</definedName>
    <definedName name="OdDoPoprz">'[2]Dane'!$BB$59</definedName>
    <definedName name="OdDoPoprzAlt">'[2]Dane'!$BB$60</definedName>
    <definedName name="PoczOkrPoprz" localSheetId="15">'[3]Dane'!$BB$68</definedName>
    <definedName name="PoczOkrSpraw" localSheetId="15">'[3]Dane'!$BB$62</definedName>
    <definedName name="SkrotWaluty">'[1]Dane'!$BB$96</definedName>
    <definedName name="WOkrPoprzAlt">'[2]Dane'!$BB$74</definedName>
    <definedName name="WOkrSpraw">'[2]Dane'!$BB$67</definedName>
  </definedNames>
  <calcPr fullCalcOnLoad="1"/>
</workbook>
</file>

<file path=xl/sharedStrings.xml><?xml version="1.0" encoding="utf-8"?>
<sst xmlns="http://schemas.openxmlformats.org/spreadsheetml/2006/main" count="1423" uniqueCount="870">
  <si>
    <t>Podatek dochodowy związany z elementami pozostałych całkowitych dochodów</t>
  </si>
  <si>
    <t xml:space="preserve">Suma dochodów całkowitych </t>
  </si>
  <si>
    <t>Liczba akcji</t>
  </si>
  <si>
    <t>Podmiot powiązany</t>
  </si>
  <si>
    <t>Sprzedaż na rzecz podmiotów powiązanych</t>
  </si>
  <si>
    <t>Zakupy od podmiotów powiązanych</t>
  </si>
  <si>
    <t>Należności od podmiotów powiązanych</t>
  </si>
  <si>
    <t>w tym przeterminowane</t>
  </si>
  <si>
    <t>w tym zaległe, po upływie terminu płatności</t>
  </si>
  <si>
    <t>Wartości niematerialne - struktura własnościowa</t>
  </si>
  <si>
    <t xml:space="preserve">Udziały  w jednostkach podporządkowanych </t>
  </si>
  <si>
    <t>jednostek zależnych</t>
  </si>
  <si>
    <t>jednostek współzależnych</t>
  </si>
  <si>
    <t>jednostek stowarzyszonych</t>
  </si>
  <si>
    <t>Stan na początek okresu</t>
  </si>
  <si>
    <t>Zwiększenia w okresie sprawozdawczym, z tytułu:</t>
  </si>
  <si>
    <t>- połączenia jednostek gospodarczych</t>
  </si>
  <si>
    <t>- reklasyfikacja</t>
  </si>
  <si>
    <t>- inne zwiększenia</t>
  </si>
  <si>
    <t>Zmniejszenia w okresie sprawozdawczym, z tytułu:</t>
  </si>
  <si>
    <t>- sprzedaż jednostki zależnej</t>
  </si>
  <si>
    <t>- inne zmniejszenia</t>
  </si>
  <si>
    <t>Stan na koniec okresu</t>
  </si>
  <si>
    <t>Nazwa spółki, forma prawna, miejscowość, w której mieści się siedziba zarządu</t>
  </si>
  <si>
    <t xml:space="preserve">Wartość udziałów wg ceny nabycia </t>
  </si>
  <si>
    <t>Korekty aktualizujące wartość</t>
  </si>
  <si>
    <t>Wartość bilansowa udziałów</t>
  </si>
  <si>
    <t>Procent posiadanych udziałów</t>
  </si>
  <si>
    <t>Procent posiadanych głosów</t>
  </si>
  <si>
    <t>Metoda konsolidacji</t>
  </si>
  <si>
    <t>Zysk / strata netto</t>
  </si>
  <si>
    <t>Wartość aktywów</t>
  </si>
  <si>
    <t>Aktywa trwałe</t>
  </si>
  <si>
    <t>Aktywa obrotowe</t>
  </si>
  <si>
    <t>Wartość zobowiązań</t>
  </si>
  <si>
    <t>Wartość przychodów</t>
  </si>
  <si>
    <t xml:space="preserve"> Pożyczki udzielone, w tym:</t>
  </si>
  <si>
    <t xml:space="preserve"> - dla Zarządu i Rady Nadzorczej</t>
  </si>
  <si>
    <t xml:space="preserve"> Instrumenty zabezpieczające wartość godziwą</t>
  </si>
  <si>
    <t xml:space="preserve"> Instrumenty zabezpieczające przepływy pieniężne</t>
  </si>
  <si>
    <t xml:space="preserve"> Inne</t>
  </si>
  <si>
    <t>Należności długoterminowe</t>
  </si>
  <si>
    <t>RAZEM</t>
  </si>
  <si>
    <t>- inne</t>
  </si>
  <si>
    <t xml:space="preserve">Należności handlowe </t>
  </si>
  <si>
    <t>Stan odpisów aktualizujących wartość należności handlowych na początek okresu</t>
  </si>
  <si>
    <t>Należności handlowe dochodzone na drodze sądowej:</t>
  </si>
  <si>
    <t>Należności handlowe skierowane na drogę postępowania sądowego</t>
  </si>
  <si>
    <t>Wartość netto należności handlowych dochodzonych na drodze sądowej</t>
  </si>
  <si>
    <t xml:space="preserve"> - od Zarządu i Rady Nadzorczej</t>
  </si>
  <si>
    <t>zobowiązania leasingowe</t>
  </si>
  <si>
    <t>zobowiązania wyceniane w wartości godziwej przez wynik finansowy</t>
  </si>
  <si>
    <t xml:space="preserve">Razem zobowiązania finansowe </t>
  </si>
  <si>
    <t xml:space="preserve"> - długoterminowe</t>
  </si>
  <si>
    <t xml:space="preserve"> - krótkoterminowe</t>
  </si>
  <si>
    <t>Udzielone pożyczki</t>
  </si>
  <si>
    <t>Udzielone pożyczki, w tym:</t>
  </si>
  <si>
    <t>- dla Zarządu i Rady Nadzorczej</t>
  </si>
  <si>
    <t>Suma netto udzielonych pożyczek</t>
  </si>
  <si>
    <t>Grunty</t>
  </si>
  <si>
    <t>Budynki i   budowle</t>
  </si>
  <si>
    <t>Maszyny
i urządzenia</t>
  </si>
  <si>
    <t>Środki
transportu</t>
  </si>
  <si>
    <t>Pozostałe
środki
trwałe</t>
  </si>
  <si>
    <t>Koszty finansowe</t>
  </si>
  <si>
    <t>- otrzymanie aportu</t>
  </si>
  <si>
    <t>Wartość firmy</t>
  </si>
  <si>
    <t>Pozostałe</t>
  </si>
  <si>
    <t>Nie przeterminowane</t>
  </si>
  <si>
    <t>Przeterminowane, lecz ściągalne</t>
  </si>
  <si>
    <t>60 – 90 dni</t>
  </si>
  <si>
    <t>Liczba pracowników przyjętych</t>
  </si>
  <si>
    <t>Liczba pracowników zwolnionych</t>
  </si>
  <si>
    <t>Przeciętne zatrudnienie:</t>
  </si>
  <si>
    <t xml:space="preserve">Zwiększenia </t>
  </si>
  <si>
    <t>Wycena bilansowa odniesiona na kapitał</t>
  </si>
  <si>
    <t>Wycena bilansowa odniesiona w RZIS</t>
  </si>
  <si>
    <t>Pozostałe świadczenia długoterminowe</t>
  </si>
  <si>
    <t>Bieżący rok obrotowy:</t>
  </si>
  <si>
    <t>01.01.200X - 31.12.200X</t>
  </si>
  <si>
    <t>31.12.200X</t>
  </si>
  <si>
    <t>Poprzedni rok obrotowy</t>
  </si>
  <si>
    <t>01.01.200(X-1) - 31.12.200(X-1)</t>
  </si>
  <si>
    <t>01.01.200(X-1)</t>
  </si>
  <si>
    <t>31.12.200(X-1)</t>
  </si>
  <si>
    <t>Wyliczenie zysku na jedną akcje - założenia</t>
  </si>
  <si>
    <t xml:space="preserve">Zysk netto z działalności kontynuowanej </t>
  </si>
  <si>
    <t xml:space="preserve">Strata na działalności zaniechanej </t>
  </si>
  <si>
    <t>Zysk netto przypadający na zwykłych akcjonariuszy, zastosowany do obliczenia rozwodnionego zysku na jedną akcję</t>
  </si>
  <si>
    <t>Efekt rozwodnienia:</t>
  </si>
  <si>
    <t xml:space="preserve"> - odsetki od umarzalnych akcji uprzywilejowanych zamiennych na akcje zwykłe</t>
  </si>
  <si>
    <t xml:space="preserve"> - odsetki od obligacji zamiennych na akcje</t>
  </si>
  <si>
    <t xml:space="preserve"> -  instrument rozwadniający zysk 1</t>
  </si>
  <si>
    <t xml:space="preserve">Zysk wykazany dla potrzeb wyliczenia wartości rozwodnionego zysku przypadającego na jedną akcję </t>
  </si>
  <si>
    <t>Liczba wyemitowanych akcji</t>
  </si>
  <si>
    <t>Średnia ważona liczba akcji wykazana dla potrzeb wyliczenia wartości podstawowego zysku  na jedną akcję w szt.</t>
  </si>
  <si>
    <t>Efekt rozwodnienia liczby akcji zwykłych</t>
  </si>
  <si>
    <t xml:space="preserve"> - opcje na akcje</t>
  </si>
  <si>
    <t xml:space="preserve"> - obligacje zamienne na akcje</t>
  </si>
  <si>
    <t xml:space="preserve"> - instrument rozwadniający zysk 1</t>
  </si>
  <si>
    <t>Średnia ważona liczba akcji zwykłych wykazana dla potrzeb wyliczenia wartości rozwodnionego zysku na jedną akcję w szt.</t>
  </si>
  <si>
    <t>PASYWA</t>
  </si>
  <si>
    <t>Podział zysku netto</t>
  </si>
  <si>
    <t>Jednostka dominująca</t>
  </si>
  <si>
    <t>Kapitał zapasowy</t>
  </si>
  <si>
    <t>Środki trwałe w budowie</t>
  </si>
  <si>
    <t>Rzeczowe aktywa trwałe - struktura własnościowa</t>
  </si>
  <si>
    <t>Rzeczowe aktywa trwale - ograniczenie w dysponowaniu</t>
  </si>
  <si>
    <t>Środki trwałe</t>
  </si>
  <si>
    <t>Wartość brutto</t>
  </si>
  <si>
    <t>Umorzenie</t>
  </si>
  <si>
    <t>Wartość netto</t>
  </si>
  <si>
    <t>Nieruchomości</t>
  </si>
  <si>
    <t>Maszyny i urządzenia</t>
  </si>
  <si>
    <t>Środki transportu</t>
  </si>
  <si>
    <t>Pozostałe środki trwałe</t>
  </si>
  <si>
    <t>Okres</t>
  </si>
  <si>
    <t>Środki trwałe w leasingu</t>
  </si>
  <si>
    <t>Krótkoterminowe świadczenia pracownicze (wynagrodzenia i narzuty)</t>
  </si>
  <si>
    <t>Nagrody jubileuszowe</t>
  </si>
  <si>
    <t>Świadczenia po okresie zatrudnienia</t>
  </si>
  <si>
    <t>Świadczenia z tytułu rozwiązania stosunku pracy</t>
  </si>
  <si>
    <t xml:space="preserve">Świadczenia pracownicze w formie akcji własnych </t>
  </si>
  <si>
    <t>Odpisy aktualizujące</t>
  </si>
  <si>
    <t>- dokonanie odpisów na należności przeterminowane i sporne</t>
  </si>
  <si>
    <t>- dowiązanie odpisów w związku z umorzeniem układu</t>
  </si>
  <si>
    <t>- wykorzystanie odpisów aktualizujących</t>
  </si>
  <si>
    <t>- rozwiązanie odpisów aktualizujących w związku ze spłatą należności</t>
  </si>
  <si>
    <t>- zakończenie postępowań</t>
  </si>
  <si>
    <t>Odpisy aktualizujące wartość należności spornych</t>
  </si>
  <si>
    <t>Pozostałe należności, w tym:</t>
  </si>
  <si>
    <t>- z tytułu ceł</t>
  </si>
  <si>
    <t>- z tytułu ubezpieczeń</t>
  </si>
  <si>
    <t>- zaliczki na dostawy</t>
  </si>
  <si>
    <t>Inwestycje krótkoterminowe</t>
  </si>
  <si>
    <t>Odpisy z tytułu utraty wartości</t>
  </si>
  <si>
    <t>Zmiany kapitału zakładowego:</t>
  </si>
  <si>
    <t>Kapitał na początek okresu</t>
  </si>
  <si>
    <t>Zwiekszenia, z tytułu:</t>
  </si>
  <si>
    <t>Zmniejszenia, z tytułu</t>
  </si>
  <si>
    <t>Kapitał na koniec okresu</t>
  </si>
  <si>
    <t>Kwoty zawarte w pozycji niepodzielony wynik niepodlegające wypłacie w formie dywidendy:</t>
  </si>
  <si>
    <t>Suma kredytów i pożyczek, w tym:</t>
  </si>
  <si>
    <t>Struktura zapadalności kredytów i pożyczek</t>
  </si>
  <si>
    <t>Zobowiązania handlowe - struktura przeterminowania</t>
  </si>
  <si>
    <t>&lt; 60 dni</t>
  </si>
  <si>
    <t>90 –180 dni</t>
  </si>
  <si>
    <t>180 – 360 dni</t>
  </si>
  <si>
    <t>&gt;360 dni</t>
  </si>
  <si>
    <t>Data rejestracji</t>
  </si>
  <si>
    <t>hiperinflacja</t>
  </si>
  <si>
    <t>tytuł</t>
  </si>
  <si>
    <t>Wartość jednostkowa</t>
  </si>
  <si>
    <t>Seria/emisja rodzaj akcji</t>
  </si>
  <si>
    <t>Kapitał z aktualizacji wyceny</t>
  </si>
  <si>
    <t>Pozostały kapitał rezerwowy</t>
  </si>
  <si>
    <t>Kapitał rezerwowy</t>
  </si>
  <si>
    <t>Wycena aktywów finansowych dostępnych do sprzedaży</t>
  </si>
  <si>
    <t>Podatek odroczony z tyt. powyższej korekty</t>
  </si>
  <si>
    <t>Wynik z tytułu zabezpieczeń przepływów pieniężnych</t>
  </si>
  <si>
    <t>Podział/ pokrycie zysku/straty netto</t>
  </si>
  <si>
    <t>Element kapitałowy programu motywacyjnego dla pracowników</t>
  </si>
  <si>
    <t xml:space="preserve">Zwiększenia w okresie </t>
  </si>
  <si>
    <t xml:space="preserve">Zmniejszenia w okresie </t>
  </si>
  <si>
    <t>Suma dochodów całkowitych</t>
  </si>
  <si>
    <t>Zmiana stanu pozostałych kapitałów</t>
  </si>
  <si>
    <t>Kredyty rachunku bieżącym</t>
  </si>
  <si>
    <t>Kredyty bankowe</t>
  </si>
  <si>
    <t>Rezerwy na odprawy emerytalne i rentowe</t>
  </si>
  <si>
    <t>Rezerwy na nagrody jubileuszowe</t>
  </si>
  <si>
    <t>Rezerwy na urlopy wypoczynkowe</t>
  </si>
  <si>
    <t>Rezerwy na pozostałe świadczenia</t>
  </si>
  <si>
    <t>korekta o zmianę stanu należności z tytułu zbycia rzeczowych aktywów trwałych</t>
  </si>
  <si>
    <t>korekta o zmianę stanu należności z tytułu zbycia inwestycji niefinansowych</t>
  </si>
  <si>
    <t>korekta o zmianę stanu należności z tytułu zbycia inwestycji finansowych</t>
  </si>
  <si>
    <t>zmiana stanu zobowiązań krótkoterminowych wynikająca z bilansu</t>
  </si>
  <si>
    <t>korekta z tytułu kompensaty dopłat i zobowiązań</t>
  </si>
  <si>
    <t>korekta o zmianę zobowiązania z tyt. niewypłaconej dywidendy</t>
  </si>
  <si>
    <t>korekta o zmianę stanu zobowiązań z tytułu nabycia rzeczowych aktywów trwałych</t>
  </si>
  <si>
    <t>korekta o zmianę stanu zobowiązań z tytułu nabycia aktywów finansowych</t>
  </si>
  <si>
    <t>Na wartość pozycji "inne korekty" składają się:</t>
  </si>
  <si>
    <t xml:space="preserve">wartość netto sprzedanych wartości niematerialnych </t>
  </si>
  <si>
    <t>przychody ze sprzedaży rzeczowych aktywów trwałych</t>
  </si>
  <si>
    <t>wartość netto sprzedanych rzeczowych aktywów trwałych</t>
  </si>
  <si>
    <t>amortyzacja wartości niematerialnych</t>
  </si>
  <si>
    <t>amortyzacja rzeczowych aktywów trwałych</t>
  </si>
  <si>
    <t>amortyzacja nieruchomości inwestycyjnych</t>
  </si>
  <si>
    <t>bilansowa zmiana stanu zapasów</t>
  </si>
  <si>
    <t>wartość zapasów przejęta w wyniku objęcia kontroli (stan zapasów jednostki zależnej na dzień objęcia kontroli ze znakiem "-")</t>
  </si>
  <si>
    <t>wartość zapasów wyłączona w wyniku utraty kontroli (stan zapasów jednostki zależnej na dzień utraty kontroli ze znakiem "+")</t>
  </si>
  <si>
    <t>bilansowa zmiana stanu rezerw na świadczenia pracownicze</t>
  </si>
  <si>
    <t>wartość rezerw przejęta w wyniku objęcia kontroli (stan rezerw jednostki zależnej na dzień objęcia kontroli ze znakiem "-")</t>
  </si>
  <si>
    <t>wartość rezerw wyłączona w wyniku utraty kontroli (stan rezerw jednostki zależnej na dzień utraty kontroli ze znakiem "+")</t>
  </si>
  <si>
    <t>stan należności przejęty w wyniku objęcia kontroli (stan należności jednostki zależnej na dzień objęcia kontroli ze znakiem "-")</t>
  </si>
  <si>
    <t>stan należności wyłączony w wyniku utraty kontroli (stan należności jednostki zależnej na dzień utraty kontroli ze znakiem "+")</t>
  </si>
  <si>
    <t>Jednostki zależne:</t>
  </si>
  <si>
    <t>Wynagrodzenie wypłacone lub należne za rok obrotowy</t>
  </si>
  <si>
    <t>- za badanie rocznego sprawozdania finansowego i skonsolidowanego sprawozdania finansowego</t>
  </si>
  <si>
    <t>Kapitał zakładowy struktura cd:</t>
  </si>
  <si>
    <t>Pozostałe zobowiązania krótkoterminowe – struktura przeterminowania</t>
  </si>
  <si>
    <t>23</t>
  </si>
  <si>
    <t>Zmiana stanu zobowiązań krótkoterminowych, z wyjątkiem zobowiązań finasnowych, wynika z następujących pozycji:</t>
  </si>
  <si>
    <t>Minus środki pieniężne i ich ekwiwalenty</t>
  </si>
  <si>
    <t>Zadłużenie netto</t>
  </si>
  <si>
    <t>Kapitał własny</t>
  </si>
  <si>
    <t>Kapitały rezerwowe z tytułu niezrealizowanych zysków netto</t>
  </si>
  <si>
    <t>Kapitał razem</t>
  </si>
  <si>
    <t>Kapitał i zadłużenie netto</t>
  </si>
  <si>
    <t>Wskaźnik dźwigni</t>
  </si>
  <si>
    <t>Administracja</t>
  </si>
  <si>
    <t>Dział sprzedaży</t>
  </si>
  <si>
    <t>Pozostali</t>
  </si>
  <si>
    <t>Obciążenie podatkowe wykazane w rachunku zysków i strat</t>
  </si>
  <si>
    <t>Aktywa finansowe dostępne do sprzedaży</t>
  </si>
  <si>
    <t>Rozliczenia międzyokresowe</t>
  </si>
  <si>
    <t>Aktywa z tytułu odroczonego podatku dochodowego</t>
  </si>
  <si>
    <t>Należności handlowe</t>
  </si>
  <si>
    <t>Aktywa finansowe wyceniane w wartości godziwej przez wynik finansowy</t>
  </si>
  <si>
    <t>Środki pieniężne i ich ekwiwalenty</t>
  </si>
  <si>
    <t>AKTYWA  RAZEM</t>
  </si>
  <si>
    <t>w tę kolumnę należy wpisać dane według wzoru</t>
  </si>
  <si>
    <t>wzór</t>
  </si>
  <si>
    <t>Nazwa jednostki:</t>
  </si>
  <si>
    <t>ABC S.A.</t>
  </si>
  <si>
    <t>Adres siedziby:</t>
  </si>
  <si>
    <t>Początek roku:</t>
  </si>
  <si>
    <t>Koniec roku:</t>
  </si>
  <si>
    <t>Kapitał zakładowy</t>
  </si>
  <si>
    <t>Pozostałe kapitały</t>
  </si>
  <si>
    <t>Rezerwa na świadczenia emerytalne i podobne</t>
  </si>
  <si>
    <t>Zobowiązania handlowe</t>
  </si>
  <si>
    <t>PASYWA  RAZEM</t>
  </si>
  <si>
    <t xml:space="preserve">Dane finasnowe sporządzone w </t>
  </si>
  <si>
    <t>Zysk  (strata) brutto na sprzedaży</t>
  </si>
  <si>
    <t>Pozostałe przychody operacyjne</t>
  </si>
  <si>
    <t>Pozostałe koszty operacyjne</t>
  </si>
  <si>
    <t>Zysk (strata) na działalności operacyjnej</t>
  </si>
  <si>
    <t>Zysk (strata) netto z działalności kontynuowanej</t>
  </si>
  <si>
    <t>Zysk (strata) z działalności zaniechanej</t>
  </si>
  <si>
    <t>DZIAŁALNOŚĆ OPERACYJNA</t>
  </si>
  <si>
    <t>Korekty razem: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</si>
  <si>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</si>
  <si>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</si>
  <si>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</si>
  <si>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</si>
  <si>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</si>
  <si>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</si>
  <si>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</si>
  <si>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</si>
  <si>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</si>
  <si>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Inne wpływy finansowe</t>
  </si>
  <si>
    <t xml:space="preserve">Odsetki </t>
  </si>
  <si>
    <t>Inne wydatki finansowe</t>
  </si>
  <si>
    <t>Przepływy pieniężne netto z działalności finansowej</t>
  </si>
  <si>
    <t>- zmiana stanu środków pieniężnych z tytułu różnic kursowych</t>
  </si>
  <si>
    <t>Wpływy</t>
  </si>
  <si>
    <t>Wydatki</t>
  </si>
  <si>
    <t>Kapitał
własny ogółem</t>
  </si>
  <si>
    <t>Koszty emisji akcji</t>
  </si>
  <si>
    <t>tys. zł / zł</t>
  </si>
  <si>
    <t>stan zobowiązań operacyjnych przejęty w wyniku objęcia kontroli (stan zobowiązań jednostki zależnej na dzień objęcia kontroli ze znakiem "-")</t>
  </si>
  <si>
    <t>stan zobowiązań opeacyjnych wyłączony w wyniku utraty kontroli (stan zobowiązań jednostki zależnej na dzień utraty kontroli ze znakiem "+")</t>
  </si>
  <si>
    <t>Zmiana stanu rezerw wynika z następujących pozycji:</t>
  </si>
  <si>
    <t>Zmiana stanu zapasów wynika z następujących pozycji:</t>
  </si>
  <si>
    <t>Należności handlowe brutto</t>
  </si>
  <si>
    <t>- od jednostek powiazanych</t>
  </si>
  <si>
    <t>- od pozostałych jednostek</t>
  </si>
  <si>
    <t>Pozostałe należności brutto</t>
  </si>
  <si>
    <t>Zmniejszenia w tym:</t>
  </si>
  <si>
    <t>Zmniejszenia, z tytułu:</t>
  </si>
  <si>
    <t>Zwiększenia, z tytułu:</t>
  </si>
  <si>
    <t xml:space="preserve">Razem inne zobowiązania </t>
  </si>
  <si>
    <t>- z tytułu zbycia aktywów trwałych</t>
  </si>
  <si>
    <t>od jednostek powiązanych</t>
  </si>
  <si>
    <t>od pozostałych jednostek</t>
  </si>
  <si>
    <t>Zwiększenia, w tym:</t>
  </si>
  <si>
    <t>Nieruchomości inwestycyjne</t>
  </si>
  <si>
    <t>Rozliczenia międzyokresowe przychodów, w tym:</t>
  </si>
  <si>
    <t>Koszt własny sprzedaży</t>
  </si>
  <si>
    <t>Zysk (strata) brutto</t>
  </si>
  <si>
    <t>Zysk (strata) netto</t>
  </si>
  <si>
    <t>Liczba udziałów/akcji w sztukach</t>
  </si>
  <si>
    <t>Wartość księgowa na akcję (zł/euro)</t>
  </si>
  <si>
    <t>Zysk (strata) netto na akcję zwykłą (zł/euro)</t>
  </si>
  <si>
    <t>Przychody ze sprzedaży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</si>
  <si>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</si>
  <si>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</si>
  <si>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</si>
  <si>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</si>
  <si>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Należności z tytułu bieżącego podatku dochodowego</t>
  </si>
  <si>
    <t>Aktywa zaklasyfikowane jako przeznaczone do sprzedaży</t>
  </si>
  <si>
    <t>26</t>
  </si>
  <si>
    <t>Zobowiązanie długoterminowe</t>
  </si>
  <si>
    <t>Zobowiązania z tytułu bieżącego podatku dochodowego</t>
  </si>
  <si>
    <t>NOTA</t>
  </si>
  <si>
    <t>Zmiany zasad (polityki) rachunkowości</t>
  </si>
  <si>
    <t>Kapitał własny po korektach</t>
  </si>
  <si>
    <t>A. Przepływy pieniężne netto z działalności operacyjnej</t>
  </si>
  <si>
    <t>B. Przepływy pieniężne netto z działalności inwestycyjnej</t>
  </si>
  <si>
    <t>C. Przepływy pieniężne netto z działalności finansowej</t>
  </si>
  <si>
    <t>D. Przepływy pieniężne netto razem</t>
  </si>
  <si>
    <t>E. Bilansowa zmiana stanu środków pieniężnych, w tym</t>
  </si>
  <si>
    <r>
      <t>Zobowi</t>
    </r>
    <r>
      <rPr>
        <sz val="8"/>
        <rFont val="Arial"/>
        <family val="2"/>
      </rPr>
      <t>ą</t>
    </r>
    <r>
      <rPr>
        <b/>
        <sz val="8"/>
        <rFont val="Arial"/>
        <family val="2"/>
      </rPr>
      <t xml:space="preserve">zania finansowe wyceniane w wartości godziwej przez wynik finansowy </t>
    </r>
  </si>
  <si>
    <r>
      <t>Po</t>
    </r>
    <r>
      <rPr>
        <sz val="8"/>
        <rFont val="Arial"/>
        <family val="2"/>
      </rPr>
      <t>ż</t>
    </r>
    <r>
      <rPr>
        <b/>
        <sz val="8"/>
        <rFont val="Arial"/>
        <family val="2"/>
      </rPr>
      <t>yczki udzielone i należności własne</t>
    </r>
  </si>
  <si>
    <t>Pozostałe zobowiązania finansowe</t>
  </si>
  <si>
    <t>Aktywa finansowe utrzymywane do terminu wymagalności</t>
  </si>
  <si>
    <t>Rezerwy z tytułu odroczonego podatku dochodowego</t>
  </si>
  <si>
    <t>Emisja akcji</t>
  </si>
  <si>
    <t>Wypłata dywidendy</t>
  </si>
  <si>
    <t>Sprzedaż towarów i materiałów</t>
  </si>
  <si>
    <t xml:space="preserve">Sprzedaż produktów </t>
  </si>
  <si>
    <t>Sprzedaż usług</t>
  </si>
  <si>
    <t>SUMA przychodów ze sprzedaży</t>
  </si>
  <si>
    <t xml:space="preserve">Wynagrodzenia </t>
  </si>
  <si>
    <t>Ubezpieczenia społeczne i inne świadczenia</t>
  </si>
  <si>
    <t>Rezerwy gwarancyjne</t>
  </si>
  <si>
    <r>
      <t>Rozwiązanie rezerw</t>
    </r>
    <r>
      <rPr>
        <sz val="8"/>
        <color indexed="10"/>
        <rFont val="Arial"/>
        <family val="2"/>
      </rPr>
      <t>*</t>
    </r>
  </si>
  <si>
    <t>Uzyskane kary, grzywny i odszkodowania</t>
  </si>
  <si>
    <t>Dotacje rządowe</t>
  </si>
  <si>
    <t>Darowizny</t>
  </si>
  <si>
    <t>Niezawinione niedobory składników majątku obrotowego</t>
  </si>
  <si>
    <t xml:space="preserve">Pozostałe przychody operacyjne </t>
  </si>
  <si>
    <t xml:space="preserve">Pozostałe koszty operacyjne </t>
  </si>
  <si>
    <t>Zysk ze zbycia akcji, udziałów i innych papierów wartościowych</t>
  </si>
  <si>
    <t>Zysk netto ze zbycia aktywów i zobowiązań finansowych wycenionych w wartości godziwej przez wynik finansowy</t>
  </si>
  <si>
    <t>Zysk netto ze zbycia aktywów finansowych dostępnych do sprzedaży</t>
  </si>
  <si>
    <t>Dywidendy otrzymane</t>
  </si>
  <si>
    <t xml:space="preserve">Rozwiązanie odpisów aktualizujących </t>
  </si>
  <si>
    <t>Nadwyżka dodatnich różnic kursowych</t>
  </si>
  <si>
    <t>Wycena instrumentów pochodnych</t>
  </si>
  <si>
    <t>Koszty z tytułu odsetek</t>
  </si>
  <si>
    <t>Nadwyżka ujemnych różnic kursowych</t>
  </si>
  <si>
    <t>Straty netto ze zbycia aktywów i zobowiązań finansowych wycenionych w wartości godziwej przez wynik finansowy</t>
  </si>
  <si>
    <t>Straty netto ze zbycia aktywów finansowych dostępnych do sprzedaży</t>
  </si>
  <si>
    <t>Odpisy aktualizujące wartość odsetek</t>
  </si>
  <si>
    <t>Zysk przed opodatkowaniem</t>
  </si>
  <si>
    <t>Przychody wyłączone z opodatkowania</t>
  </si>
  <si>
    <t>Koszty niebędące kosztami uzyskania przychodów</t>
  </si>
  <si>
    <t>Dochód do opodatkowania</t>
  </si>
  <si>
    <t>Odliczenia od dochodu - darowizna, strata</t>
  </si>
  <si>
    <t>Podstawa opodatkowania</t>
  </si>
  <si>
    <t>Podatek dochodowy przy zastosowaniu stawki 19%</t>
  </si>
  <si>
    <t>Aktywo z tytułu podatku odroczonego</t>
  </si>
  <si>
    <t>Rezerwa z tytułu podatku odroczonego – działalność kontynuowana</t>
  </si>
  <si>
    <t>Rezerwa z tytułu podatku odroczonego – działalność zaniechana</t>
  </si>
  <si>
    <t>Aktywa/Rezerwa netto z tytułu podatku odroczonego</t>
  </si>
  <si>
    <t>Własne</t>
  </si>
  <si>
    <t>Używane na podstawie umowy najmu, dzierżawy lub innej umowy, w tym umowy leasingu</t>
  </si>
  <si>
    <t>Tytuł zobowiązania / ograniczenia w dysponowaniu</t>
  </si>
  <si>
    <t>Wartość bilansowa rzeczowych aktywów trwałych podlegających ograniczeniu w dysponowaniu lub stanowiących zabezpieczenie</t>
  </si>
  <si>
    <t>Wobec jednostek powiązanych</t>
  </si>
  <si>
    <t>Wobec jednostek pozostałych</t>
  </si>
  <si>
    <t>Podatek VAT</t>
  </si>
  <si>
    <t>Podatek zryczałtowany u źródła</t>
  </si>
  <si>
    <t>Podatek dochodowy od osób fizycznych</t>
  </si>
  <si>
    <t>Pozostałe zobowiązania</t>
  </si>
  <si>
    <t>Zobowiązania wobec pracowników z tytułu wynagrodzeń</t>
  </si>
  <si>
    <t>Zobowiązania wobec podmiotów powiązanych</t>
  </si>
  <si>
    <t>Zobowiązania wobec wspólnego przedsięwzięcia</t>
  </si>
  <si>
    <t>Inne zobowiązania</t>
  </si>
  <si>
    <t>Zapasy</t>
  </si>
  <si>
    <t>Związany z obniżeniem stawek podatku dochodowego</t>
  </si>
  <si>
    <t>Rezerwa na nagrody jubileuszowe i odprawy emerytalne</t>
  </si>
  <si>
    <t>Rezerwa na pozostałe świadczenia pracownicze</t>
  </si>
  <si>
    <t>Rezerwa na niewykorzystane urlopy</t>
  </si>
  <si>
    <t>Rezerwy na rekultywację</t>
  </si>
  <si>
    <t>Rezerwy na ochronę środowiska</t>
  </si>
  <si>
    <t>Pozostałe rezerwy</t>
  </si>
  <si>
    <t>Odpisy aktualizujące zapasy</t>
  </si>
  <si>
    <t>Zobowiązania z tytułu pozostałych podatków, ceł, ubezpieczeń społecznych i innych, z wyjątkiem podatku dochodowego od osób prawnych</t>
  </si>
  <si>
    <t>Koszty wypłaconych świadczeń</t>
  </si>
  <si>
    <t>Rozwiązanie rezerwy</t>
  </si>
  <si>
    <t>Podatek dochodowy netto od dostępnych do 
sprzedaży akt. finanse. sprzedanych w ciągu roku obrotowego</t>
  </si>
  <si>
    <t>Wynagrodzenia i ubezpieczenia społeczne płatne w następnych okresach</t>
  </si>
  <si>
    <t>Oprocentowane kredyty i pożyczki</t>
  </si>
  <si>
    <t>Zamienne akcje uprzywilejowane</t>
  </si>
  <si>
    <t>Zobowiązania z tytułu dostaw i usług oraz pozostałe zobowiązania</t>
  </si>
  <si>
    <t>- z tytułu podatków, z wyjątkiem podatku dochodowego od osób prawnych</t>
  </si>
  <si>
    <t>Zobowiązania krótkoterminowe</t>
  </si>
  <si>
    <t>Zobowiązania długoterminowe</t>
  </si>
  <si>
    <t>Przychody finansowe</t>
  </si>
  <si>
    <t>Wyszczególnienie</t>
  </si>
  <si>
    <t>Sprzedaż licencji</t>
  </si>
  <si>
    <r>
      <t xml:space="preserve">Przeszacowanie kontraktu na zamianę stóp procentowych </t>
    </r>
    <r>
      <rPr>
        <i/>
        <sz val="8"/>
        <color indexed="8"/>
        <rFont val="Arial"/>
        <family val="2"/>
      </rPr>
      <t>swap</t>
    </r>
    <r>
      <rPr>
        <sz val="8"/>
        <color indexed="8"/>
        <rFont val="Arial"/>
        <family val="2"/>
      </rPr>
      <t xml:space="preserve"> (zabezpieczenie wartości godziwej) do wartości godziwej</t>
    </r>
  </si>
  <si>
    <t>Razem, w tym:</t>
  </si>
  <si>
    <t>Rezerwy na pozostałe świadczenia pracownicze</t>
  </si>
  <si>
    <t>Utworzenie rezerwy</t>
  </si>
  <si>
    <t>Świadczenia wypłacane Członkom Zarządu</t>
  </si>
  <si>
    <t>Rotacja zatrudnienia:</t>
  </si>
  <si>
    <t>Razem</t>
  </si>
  <si>
    <t>Strata z tytułu przeszacowania nieruchomości inwestycyjnych do wartości godziwej</t>
  </si>
  <si>
    <t>Dodatnie różnice kursowe</t>
  </si>
  <si>
    <t>Ujemne różnice kursowe</t>
  </si>
  <si>
    <t>Amortyzacja</t>
  </si>
  <si>
    <t>Zużycie materiałów i energii</t>
  </si>
  <si>
    <t>Usługi obce</t>
  </si>
  <si>
    <t>Podatki i opłaty</t>
  </si>
  <si>
    <t>Pozostałe koszty rodzajowe</t>
  </si>
  <si>
    <t>Wartość sprzedanych towarów i materiałów</t>
  </si>
  <si>
    <t>Amortyzacja środków trwałych</t>
  </si>
  <si>
    <t>Amortyzacja wartości niematerialnych</t>
  </si>
  <si>
    <t>Bieżący podatek dochodowy</t>
  </si>
  <si>
    <t>Odroczony podatek dochodowy</t>
  </si>
  <si>
    <t>Związany z powstaniem i odwróceniem się różnic przejściowych</t>
  </si>
  <si>
    <t>Efekt podatkowy kosztów podniesienia kapitału akcyjnego</t>
  </si>
  <si>
    <t>Podatek od zysku/(straty) netto z tytułu aktualizacji wyceny zabezpieczeń przepływów pieniężnych</t>
  </si>
  <si>
    <t>Podatek od niezrealizowanego zysku/(straty) z tytułu aktywów finansowych dostępnych do sprzedaży</t>
  </si>
  <si>
    <t>Podatek od rozliczonych w ciągu roku instrumentów zabezpieczających przepływy pieniężne</t>
  </si>
  <si>
    <t>Przyspieszona amortyzacja podatkowa</t>
  </si>
  <si>
    <t>Przeszacowanie nieruchomości inwestycyjnych do wartości godziwej</t>
  </si>
  <si>
    <t>Przeszacowanie aktywów finansowych dostępnych do sprzedaży do wartości godziwej</t>
  </si>
  <si>
    <t>Przeszacowanie kontraktów walutowych (zabezpieczenia przepływów pieniężnych) do wartości godziwej</t>
  </si>
  <si>
    <t>Korekty do wartości godziwej z tytułu przejęcia jednostek</t>
  </si>
  <si>
    <t>Straty możliwe do odliczenia od przyszłych dochodów do opodatkowania</t>
  </si>
  <si>
    <t xml:space="preserve">Wartości niematerialne </t>
  </si>
  <si>
    <t>Rzeczowe aktywa trwałe</t>
  </si>
  <si>
    <t>Kredyty i pożyczki</t>
  </si>
  <si>
    <t>Spis treści</t>
  </si>
  <si>
    <t>nota</t>
  </si>
  <si>
    <t>F. Środki pieniężne na początek okresu</t>
  </si>
  <si>
    <t>G. Środki pieniężne na koniec okresu</t>
  </si>
  <si>
    <t>Inwestycje w jednostkach podporządkowanych wycenianych wg ceny nabycia</t>
  </si>
  <si>
    <t>Zmiana stanu inwestycji w jednostkach zależnych</t>
  </si>
  <si>
    <t>Zmiana stanu inwestycji w jednostkach współzależnych i stowarzyszonych</t>
  </si>
  <si>
    <t>Inwestycje długoterminowe</t>
  </si>
  <si>
    <t>Podatek dochodowy wykazany w kapitale własnym</t>
  </si>
  <si>
    <t>PLN</t>
  </si>
  <si>
    <t>EUR</t>
  </si>
  <si>
    <t>USD</t>
  </si>
  <si>
    <t>GBP</t>
  </si>
  <si>
    <t>CHF</t>
  </si>
  <si>
    <t>Ogółem</t>
  </si>
  <si>
    <t>krótkoterminowe</t>
  </si>
  <si>
    <t>długoterminowe</t>
  </si>
  <si>
    <t>Środki pieniężne w bilansie</t>
  </si>
  <si>
    <t>Działalność kontynuowana</t>
  </si>
  <si>
    <t>SUMA przychodów ogółem z działalności kontynuowanej</t>
  </si>
  <si>
    <t>Przychody z działalnosci zaniechanej</t>
  </si>
  <si>
    <t xml:space="preserve">SUMA przychodów ogółem </t>
  </si>
  <si>
    <t>Zysk ze zbycia majątku trwałego</t>
  </si>
  <si>
    <t>Zysk ze sprzedaży nieruchomości inwestycyjnych</t>
  </si>
  <si>
    <t>Strata ze zbycia majątku trwałego</t>
  </si>
  <si>
    <t>Strata ze sprzedaży nieruchomości inwestycyjnych</t>
  </si>
  <si>
    <t>Dotyczący roku obrotowego</t>
  </si>
  <si>
    <t>Korekty dotyczące lat ubiegłych</t>
  </si>
  <si>
    <t>Korzyść podatkowa / (obciążenie podatkowe) wykazane w pozostałych dochodach całkowitych</t>
  </si>
  <si>
    <t>zwiększenia</t>
  </si>
  <si>
    <t>zmniejszenia</t>
  </si>
  <si>
    <t>Suma ujemnych różnic przejściowych</t>
  </si>
  <si>
    <t>stawka podatkowa</t>
  </si>
  <si>
    <t>Aktywa z tytułu odroczonego podatku</t>
  </si>
  <si>
    <t>Suma dodatnich różnic przejściowych</t>
  </si>
  <si>
    <t>Rezerwa z tytułu podatku odroczonego na koniec okresu:</t>
  </si>
  <si>
    <t xml:space="preserve">Ujemne różnice przejściowe będące podstawą do tworzenia aktywa z tytułu podatku odroczonego </t>
  </si>
  <si>
    <t>- stanowiące zabezpieczenie kredytów i pożyczej własnych</t>
  </si>
  <si>
    <t>- stanowiące zabezpieczenie kredytów i pożyczej obcych</t>
  </si>
  <si>
    <t>- stanowiące zabezpieczenie innych zobowiązań</t>
  </si>
  <si>
    <t>- użytkowane na podstawie umowy leasingu finansowego</t>
  </si>
  <si>
    <r>
      <t>Koszty prac rozwojowych</t>
    </r>
    <r>
      <rPr>
        <b/>
        <vertAlign val="superscript"/>
        <sz val="8"/>
        <color indexed="8"/>
        <rFont val="Arial"/>
        <family val="2"/>
      </rPr>
      <t>1</t>
    </r>
  </si>
  <si>
    <r>
      <t>Patenty i licencje</t>
    </r>
    <r>
      <rPr>
        <b/>
        <vertAlign val="superscript"/>
        <sz val="8"/>
        <color indexed="8"/>
        <rFont val="Arial"/>
        <family val="2"/>
      </rPr>
      <t>2</t>
    </r>
  </si>
  <si>
    <r>
      <t>Oprogramowanie komputerowe</t>
    </r>
    <r>
      <rPr>
        <b/>
        <vertAlign val="superscript"/>
        <sz val="8"/>
        <rFont val="Arial"/>
        <family val="2"/>
      </rPr>
      <t>2</t>
    </r>
  </si>
  <si>
    <t>Wartości niematerialne w budowie</t>
  </si>
  <si>
    <t xml:space="preserve"> Należności leasingowe długoterminowe</t>
  </si>
  <si>
    <t xml:space="preserve"> Należności długoterminowe pozostałe</t>
  </si>
  <si>
    <t xml:space="preserve"> Należności leasingowe krótkoterminowe</t>
  </si>
  <si>
    <t>obligacje</t>
  </si>
  <si>
    <t>91-180</t>
  </si>
  <si>
    <t>Jednostki powiązane</t>
  </si>
  <si>
    <t>Stan odpisów aktualizujących wartość należności handlowych od jednostek powiązanych na koniec okresu</t>
  </si>
  <si>
    <t>Jednostki pozostałe</t>
  </si>
  <si>
    <t>Stan odpisów aktualizujących wartość należności handlowych od jednostek pozostałych na koniec okresu</t>
  </si>
  <si>
    <t>Stan odpisów aktualizujących wartość należności handlowych ogółem na koniec okresu</t>
  </si>
  <si>
    <t>Środki pieniężne i ich ekwiwalenty ogółem wykazane w rachunku przepływów pieniężnych</t>
  </si>
  <si>
    <t>Odsetki i udziały w zyskach (dywidendy) składają się z:</t>
  </si>
  <si>
    <t>odsetki zapłacone od udzielonych pożyczek</t>
  </si>
  <si>
    <t>odsetki zapłacone od kredytów</t>
  </si>
  <si>
    <t>odsetki od dłużnych papierów wartościowych</t>
  </si>
  <si>
    <t>odsetki zapłacone od długoterminowych należności</t>
  </si>
  <si>
    <t>odsetki naliczone od udzielonych pożyczek</t>
  </si>
  <si>
    <t>odsetki naliczone od kredytów i pożyczek</t>
  </si>
  <si>
    <t>Zysk (strata) z działalności inwestycyjnej wynika z:</t>
  </si>
  <si>
    <t>wartość netto zlikwidowanych aktywów trwałych</t>
  </si>
  <si>
    <t>Zmiana należności wynika z następujących pozycji:</t>
  </si>
  <si>
    <t>zmiana stanu należności krótkoterminowych wynikająca z bilansu</t>
  </si>
  <si>
    <t>zmiana stanu należności długoterminowych wynikająca z bilansu</t>
  </si>
  <si>
    <t>korekta o dopłaty do kapitału</t>
  </si>
  <si>
    <t>Przychody ze sprzedaży usług</t>
  </si>
  <si>
    <t>Przychody ze sprzedaży produktów</t>
  </si>
  <si>
    <t>Przychody ze sprzedaży towarów i materiałów</t>
  </si>
  <si>
    <t>Zysk (strata) netto na jedną akcję (w zł)</t>
  </si>
  <si>
    <t>Inwestycje w jednostkach podporządkowanych</t>
  </si>
  <si>
    <t>Pozostałe aktywa trwałe</t>
  </si>
  <si>
    <t xml:space="preserve">Pozostałe należności </t>
  </si>
  <si>
    <t>Akcje własne</t>
  </si>
  <si>
    <t>Niepodzielony wynik finansowy</t>
  </si>
  <si>
    <t>Wynik finansowy bieżącego okresu</t>
  </si>
  <si>
    <r>
      <t xml:space="preserve">Świadczenia </t>
    </r>
    <r>
      <rPr>
        <b/>
        <sz val="8"/>
        <rFont val="Arial"/>
        <family val="2"/>
      </rPr>
      <t>wypłacone lub należne pozostałym członkom głównej kadry kierowniczej</t>
    </r>
  </si>
  <si>
    <t>Środki pieniężne kasie i na rachunkach bankowych:</t>
  </si>
  <si>
    <t>Wrocław, ul. B.Prusa 5</t>
  </si>
  <si>
    <t>Podatek dochodowy wykazany w RZiS</t>
  </si>
  <si>
    <t>KOSZTY AMORTYZACJI  I ODPISÓW AKTUALIZUJĄCYCH UJĘTE W RZIS</t>
  </si>
  <si>
    <t>Zmiana stanu instrumentów finansowych</t>
  </si>
  <si>
    <r>
      <t>Stan na pocz</t>
    </r>
    <r>
      <rPr>
        <sz val="8"/>
        <rFont val="Arial"/>
        <family val="2"/>
      </rPr>
      <t>ą</t>
    </r>
    <r>
      <rPr>
        <b/>
        <sz val="8"/>
        <rFont val="Arial"/>
        <family val="2"/>
      </rPr>
      <t xml:space="preserve">tek okresu </t>
    </r>
  </si>
  <si>
    <t>Zakup akcji</t>
  </si>
  <si>
    <t xml:space="preserve">Udzielenie pożyczek </t>
  </si>
  <si>
    <t xml:space="preserve">Kredyty i pożyczki </t>
  </si>
  <si>
    <t xml:space="preserve">Zmniejszenia </t>
  </si>
  <si>
    <t>15</t>
  </si>
  <si>
    <t>18</t>
  </si>
  <si>
    <t>Kwoty zobowiązań umownych do nabycia w przyszłości rzeczowych aktywów trwałych</t>
  </si>
  <si>
    <t>Tytuł zobowiązania</t>
  </si>
  <si>
    <t>Suma</t>
  </si>
  <si>
    <t>- nabycia środków trwałych</t>
  </si>
  <si>
    <t>- wytworzenia we własnym zakresie środków trwałych</t>
  </si>
  <si>
    <t>- zawartych umów leasingu</t>
  </si>
  <si>
    <t>- przeszacowania</t>
  </si>
  <si>
    <t>- zbycia</t>
  </si>
  <si>
    <t>- likwidacji</t>
  </si>
  <si>
    <t>-  wniesienia aportu</t>
  </si>
  <si>
    <t>- amortyzacji</t>
  </si>
  <si>
    <t>- sprzedaży</t>
  </si>
  <si>
    <t>- utraty wartości</t>
  </si>
  <si>
    <t>- odwrócenie odpisów aktualizujących</t>
  </si>
  <si>
    <t>- likwidacji lub sprzedaży</t>
  </si>
  <si>
    <t>Akcjonariusz</t>
  </si>
  <si>
    <t>Rodzaj
uprzywilejo-
wania akcji</t>
  </si>
  <si>
    <t>Rodzaj
ograniczenia
praw do akcji</t>
  </si>
  <si>
    <t>Wartość
serii / emisji
wg wartości
nominalnej</t>
  </si>
  <si>
    <t xml:space="preserve">Sposób
pokrycia
kapitału </t>
  </si>
  <si>
    <t>% kapitału akcyjnego</t>
  </si>
  <si>
    <t xml:space="preserve">Liczba głosów </t>
  </si>
  <si>
    <t>% głosów</t>
  </si>
  <si>
    <t>Pożyczki</t>
  </si>
  <si>
    <t>- długoterminowe</t>
  </si>
  <si>
    <t>- krótkoterminowe</t>
  </si>
  <si>
    <t>x</t>
  </si>
  <si>
    <t>Kredyty i pożyczki krótkoterminowe</t>
  </si>
  <si>
    <t>Kredyty i pożyczki długoterminowe</t>
  </si>
  <si>
    <t>- płatne powyżej 5 lat</t>
  </si>
  <si>
    <t>Kredyty i pożyczki razem</t>
  </si>
  <si>
    <t>- płatne powyżej 1 roku do 3 lat</t>
  </si>
  <si>
    <t>- płatne powyżej 3 lat do 5 lat</t>
  </si>
  <si>
    <t>wartość
w walucie</t>
  </si>
  <si>
    <t>wartość 
w PLN</t>
  </si>
  <si>
    <t>Kredyty i pożyczki struktura walutowa:</t>
  </si>
  <si>
    <t xml:space="preserve">Razem </t>
  </si>
  <si>
    <t>Różnice kursowe z wyceny bilansowej</t>
  </si>
  <si>
    <t>Aktywa pieniężne kwalifikowane jako ekwiwalenty środków pieniężnych na potrzeby rachunku przepływów pieniężnych</t>
  </si>
  <si>
    <t>1,2</t>
  </si>
  <si>
    <t>4</t>
  </si>
  <si>
    <t>5</t>
  </si>
  <si>
    <t>6</t>
  </si>
  <si>
    <t>7</t>
  </si>
  <si>
    <t>Pozostałe zobowiązania krótkoterminowe</t>
  </si>
  <si>
    <t xml:space="preserve"> Instrumenty finansowe utrzymywane do terminu wymagalności</t>
  </si>
  <si>
    <t>- nabycia</t>
  </si>
  <si>
    <t>Składki na ubezpieczenie społeczne (ZUS)</t>
  </si>
  <si>
    <t>Akcyza</t>
  </si>
  <si>
    <t>Opłaty celne</t>
  </si>
  <si>
    <t>Bierne rozliczenia międzyokresowe</t>
  </si>
  <si>
    <t>Rozliczenia międzyokresowe przychodów</t>
  </si>
  <si>
    <t>Przychody przyszłych okresów</t>
  </si>
  <si>
    <t>Zysk (strata) przed opodatkowaniem</t>
  </si>
  <si>
    <t>Podatek dochodowy</t>
  </si>
  <si>
    <t>Odpisy aktualizujące należności</t>
  </si>
  <si>
    <t xml:space="preserve">Dodatnie różnice przejściowe będące podstawą do tworzenia rezerwy z tytułu podatku odroczonego </t>
  </si>
  <si>
    <t>- zakupu jednostki</t>
  </si>
  <si>
    <t>Zmiany odpisu aktualizującego należności handlowych</t>
  </si>
  <si>
    <t>Inne zobowiązania długoterminowe</t>
  </si>
  <si>
    <t>Zobowiązania leasingowe krótkoterminowe</t>
  </si>
  <si>
    <t>Zobowiązania leasingowe długoterminowe, w tym:</t>
  </si>
  <si>
    <t>- od roku do pięciu lat</t>
  </si>
  <si>
    <t>- powyżej pięciu lat</t>
  </si>
  <si>
    <t>Zobowiązania leasingowe razem</t>
  </si>
  <si>
    <t>Zobowiązania leasingowe</t>
  </si>
  <si>
    <t xml:space="preserve">Spółka prezentuje segmenty działalności w jednostkowym sprawozdaniu finansowych według poniższego wzoru, w przypadku, gdy nie sporządza skonsolidowanego sprawozdania finansowego. </t>
  </si>
  <si>
    <t>Nota 1. PRZYCHODY ZE SPRZEDAŻY</t>
  </si>
  <si>
    <t>Nota 3. KOSZTY DZIAŁALNOŚCI OPERACYJNEJ</t>
  </si>
  <si>
    <t>Nota 4. POZOSTAŁE PRZYCHODY I KOSZTY OPERACYJNE</t>
  </si>
  <si>
    <t>Nota 5. PRZYCHODY  I KOSZTY FINANSOWE</t>
  </si>
  <si>
    <t>Nota 6. PODATEK DOCHODOWY I ODROCZONY PODATEK DOCHODOWY</t>
  </si>
  <si>
    <t>Nota 2. SEGMENTY OPERACYJNE</t>
  </si>
  <si>
    <t xml:space="preserve">Spłata pożyczek udzielonych </t>
  </si>
  <si>
    <t>RACHUNEK ZYSKÓW I STRAT</t>
  </si>
  <si>
    <t>BILANS</t>
  </si>
  <si>
    <t>RACHUNEK PRZEPŁYWÓW PIENIĘŻNYCH</t>
  </si>
  <si>
    <t>Kurs EUR/PLN</t>
  </si>
  <si>
    <t>- dla danych bilansowych</t>
  </si>
  <si>
    <t>- dla danych rachunku zysków i strat</t>
  </si>
  <si>
    <t>Do przeliczenia danych bilansowych użyto kursu średniego NBP na dzień bilansowy. 
Do przeliczenia pozycji rachunku zysków i strat oraz rachunku przepływów pieniężnych użyto kursu będącego średnią arytmetyczną kursów NBP obowiązujących na ostatni dzień poszczególnych miesięcy danego okresu.</t>
  </si>
  <si>
    <t>Nakłady na prace badawcze i rozwojowe</t>
  </si>
  <si>
    <t>Różnica z tytułu przekazania aktywów niegotówkowych właścicielom</t>
  </si>
  <si>
    <t>Udział w zyskach netto jednostek wycenianych metodą praw własności</t>
  </si>
  <si>
    <t>Zyski (straty) aktuarialne z programów określonych świadczeń</t>
  </si>
  <si>
    <t>Efektywna część  zmian wartości godziwej instrumentów zabezpieczających przepływy środków pieniężnych</t>
  </si>
  <si>
    <t>Zmiana netto wartości godziwej instrumentów zabezpieczających przepływy pieniężne przeklasyfikowana do zysku lub straty bieżącego okresu</t>
  </si>
  <si>
    <t>Różnice kursowe z przeliczenia jednostek wycenianych metodą praw własności</t>
  </si>
  <si>
    <t>Strata netto z zabezpieczenia udziału w aktywach netto w jednostkach działających za granicą</t>
  </si>
  <si>
    <t>Przeszacownie rzeczowego majątku trwałego</t>
  </si>
  <si>
    <t>Kapitał zapasowy z emisji akcji powyżej wartości nominalnej</t>
  </si>
  <si>
    <t>19</t>
  </si>
  <si>
    <t>Pozycje do przekwalifikowania do rachunku zysków i strat w kolejnych okresach</t>
  </si>
  <si>
    <t>Pozycje, które nie będą przekwalifikowane do rachunku zysków i strat w kolejnych okresach</t>
  </si>
  <si>
    <r>
      <t xml:space="preserve">Efektywna stawka podatku </t>
    </r>
    <r>
      <rPr>
        <sz val="8"/>
        <rFont val="Arial"/>
        <family val="2"/>
      </rPr>
      <t xml:space="preserve">(udział </t>
    </r>
    <r>
      <rPr>
        <i/>
        <sz val="8"/>
        <rFont val="Arial"/>
        <family val="2"/>
      </rPr>
      <t xml:space="preserve">obciążenia podatkowego wykazanego w rachunku zysków i strat </t>
    </r>
    <r>
      <rPr>
        <sz val="8"/>
        <rFont val="Arial"/>
        <family val="2"/>
      </rPr>
      <t xml:space="preserve"> w zysku przed opodatkowaniem)</t>
    </r>
  </si>
  <si>
    <t>Korekty z tyt. błędów poprzednich okresów</t>
  </si>
  <si>
    <t>31.12.2015</t>
  </si>
  <si>
    <t>INIS sp. z o.o., Rybnik</t>
  </si>
  <si>
    <t>pełna</t>
  </si>
  <si>
    <t>Mr Target sp. z o.o. Rybnik</t>
  </si>
  <si>
    <t>Teletarget sp. z o.o., Rybnik</t>
  </si>
  <si>
    <t>Sare GmbH, Berlin</t>
  </si>
  <si>
    <t>nieistotność</t>
  </si>
  <si>
    <t>Fundacja Force, Rybnik</t>
  </si>
  <si>
    <t>SARE S.A.</t>
  </si>
  <si>
    <t>Rybnik, ul. Raciborska 35a</t>
  </si>
  <si>
    <t>Koszty działalności operacyjnej</t>
  </si>
  <si>
    <t xml:space="preserve">Zużycie materiałów i energii </t>
  </si>
  <si>
    <t xml:space="preserve">Usługi obce </t>
  </si>
  <si>
    <t xml:space="preserve">Podatki i opłaty, w tym: </t>
  </si>
  <si>
    <t xml:space="preserve">Ubezpieczenia społeczne i inne świadczenia </t>
  </si>
  <si>
    <t xml:space="preserve">Pozostałe koszty rodzajowe </t>
  </si>
  <si>
    <t>Koszt programu opcji managerskich</t>
  </si>
  <si>
    <t>Różnice kursowe z przeliczenia</t>
  </si>
  <si>
    <t>Likwidacja środków trwałych</t>
  </si>
  <si>
    <t>Składki nieobowiązkowe na rzecz organizacji</t>
  </si>
  <si>
    <t>Koszty postępowaniam sądowego</t>
  </si>
  <si>
    <t>Aktualizacja wartości inwestycji</t>
  </si>
  <si>
    <t>Opcje managerskie</t>
  </si>
  <si>
    <t>Prace rozwojowe</t>
  </si>
  <si>
    <t>Raty za telefony</t>
  </si>
  <si>
    <t>Pozostałe rozliczenia międzyokresowe</t>
  </si>
  <si>
    <t>Seria A</t>
  </si>
  <si>
    <t>na okaziciela</t>
  </si>
  <si>
    <t>Seria B</t>
  </si>
  <si>
    <t>WS Investment Limited</t>
  </si>
  <si>
    <t>Pruszczyński Tomasz</t>
  </si>
  <si>
    <t>Rutkowski Damian</t>
  </si>
  <si>
    <t>Vasto Investment s.a.r.l.</t>
  </si>
  <si>
    <t>Karta kredytowa</t>
  </si>
  <si>
    <t>Rezerwa na badanie sprawozdania finansowego</t>
  </si>
  <si>
    <t>Rezerwa na ugodę</t>
  </si>
  <si>
    <t>Wynagrodzenie prowizyjne</t>
  </si>
  <si>
    <t>Jednostka powiązana osobowo z Grupą</t>
  </si>
  <si>
    <t>MARTIS CONSULTING SP. Z O.O.</t>
  </si>
  <si>
    <t>PRUSZCZYNSKI.PL</t>
  </si>
  <si>
    <t>3</t>
  </si>
  <si>
    <t>Nota 7. ZYSK PRZYPADAJĄCY NA JEDNĄ AKCJĘ</t>
  </si>
  <si>
    <t>Nota 9. RZECZOWE AKTYWA TRWAŁE</t>
  </si>
  <si>
    <t>9</t>
  </si>
  <si>
    <t>Nota 10. WARTOŚCI NIEMATERIALNE</t>
  </si>
  <si>
    <t>- wytworzenie we własnym zakresie wartości niematerialnych</t>
  </si>
  <si>
    <t>10</t>
  </si>
  <si>
    <t>Nota 11. INWESTYCJE W JEDNOSTKACH PODPORZĄDKOWANYCH</t>
  </si>
  <si>
    <t>11</t>
  </si>
  <si>
    <t>Konwersja pożyczek na kapitał podstawowy</t>
  </si>
  <si>
    <t>Kapitał zakladowy struktura cd:</t>
  </si>
  <si>
    <t>20</t>
  </si>
  <si>
    <t>21</t>
  </si>
  <si>
    <t>22</t>
  </si>
  <si>
    <t>24</t>
  </si>
  <si>
    <t>25</t>
  </si>
  <si>
    <t>IT - Dział programowania</t>
  </si>
  <si>
    <t>Obsługa Klienta</t>
  </si>
  <si>
    <t xml:space="preserve">Nota 37. INFORMACJE O TRANSAKCJACH Z PODMIOTEM DOKONUJĄCYM BADANIA SPRAWOZDANIA </t>
  </si>
  <si>
    <t>Nota 38. Objaśnienia do rachunku przepływów pieniężnych</t>
  </si>
  <si>
    <t>koszty finansowe leasing</t>
  </si>
  <si>
    <t>opcje managerskie</t>
  </si>
  <si>
    <t>pozostałe</t>
  </si>
  <si>
    <t>Koszty zmniejszające podstawę opodatkowania</t>
  </si>
  <si>
    <t>13</t>
  </si>
  <si>
    <t>17</t>
  </si>
  <si>
    <t>- za badanie półrocznego sprawozdania finansowego skonsolidowanego oraz werryfikację jednostkowego sprawozdania finansowego</t>
  </si>
  <si>
    <t>- za usługi doradztwa w zakresie wdrożenia MSR</t>
  </si>
  <si>
    <t>- weryfikacja oraz opinia do historycznej informacji finansowej</t>
  </si>
  <si>
    <t>Inne, w tym oprogramowanie komputerowe</t>
  </si>
  <si>
    <t>31.12.2016</t>
  </si>
  <si>
    <t>Seria C</t>
  </si>
  <si>
    <t>Seria D</t>
  </si>
  <si>
    <t xml:space="preserve">Kapitały zapasowy </t>
  </si>
  <si>
    <t xml:space="preserve"> - sprzedaży</t>
  </si>
  <si>
    <t>Strata ze zbycia inwestycji</t>
  </si>
  <si>
    <t>emisja akcji serii C</t>
  </si>
  <si>
    <t>emisja akcji serii D</t>
  </si>
  <si>
    <t>Świadczenia wypłacane Członkom Rady Nadzorczej</t>
  </si>
  <si>
    <t>PFRON</t>
  </si>
  <si>
    <t>Zobowiązania z tytułu korekty VAT (ulga na złe długi)</t>
  </si>
  <si>
    <t>Wynik za rok 2016</t>
  </si>
  <si>
    <t>14</t>
  </si>
  <si>
    <t>12</t>
  </si>
  <si>
    <t>16</t>
  </si>
  <si>
    <t>TuPolska Sp. z o.o.</t>
  </si>
  <si>
    <t>Związek Przedsiębiorców i Pracodawców</t>
  </si>
  <si>
    <t>Przychody netto ze sprzedaży produktów, towarów i materiałów</t>
  </si>
  <si>
    <t>zysk na okazjonalnym nabyciu</t>
  </si>
  <si>
    <t>01.01.2017 - 31.12.2017</t>
  </si>
  <si>
    <t>31.12.2017</t>
  </si>
  <si>
    <t xml:space="preserve"> zł</t>
  </si>
  <si>
    <t>Wynik za rok 2017</t>
  </si>
  <si>
    <t>Kapitał zakładowy struktura na dzień 31.12.2017</t>
  </si>
  <si>
    <t>Zwrot zasądzonych kosztów sądowych</t>
  </si>
  <si>
    <t>Marketnews24 sp. z o.o, Warszawa</t>
  </si>
  <si>
    <t>n/d</t>
  </si>
  <si>
    <t>Fundacja Rozwoju i Ochrony Komunikacji Elektronicznej</t>
  </si>
  <si>
    <t>SARE GmbH</t>
  </si>
  <si>
    <t>Tomasz Pruszczyński</t>
  </si>
  <si>
    <t>Petrovasko Ltd</t>
  </si>
  <si>
    <t>Aktualizacja wartość aktywów finansowych</t>
  </si>
  <si>
    <t>Odpis aktualizujący aktywa finansowe</t>
  </si>
  <si>
    <t>Zmiana netto wartości godziwej aktywów finansowych dostępnych do sprzedaży przeklasyfikowana do zysku lub straty bieżącego okresu</t>
  </si>
  <si>
    <t>- odpis aktualizujący</t>
  </si>
  <si>
    <t>Pożyczki długoterminowe</t>
  </si>
  <si>
    <t>Pożyczki krótkoterminowe</t>
  </si>
  <si>
    <t>dywidendy otrzymane</t>
  </si>
  <si>
    <t>aktualizacja wartości aktywów niefinansowych</t>
  </si>
  <si>
    <t>Przeterminowane</t>
  </si>
  <si>
    <t>0-30</t>
  </si>
  <si>
    <t>31-90</t>
  </si>
  <si>
    <t>181-365</t>
  </si>
  <si>
    <t>powyżej 365</t>
  </si>
  <si>
    <t>należności brutto</t>
  </si>
  <si>
    <t>odpisy akualizujące</t>
  </si>
  <si>
    <t>nalezności netto</t>
  </si>
  <si>
    <t>Środki pieniężne kasie</t>
  </si>
  <si>
    <t>Środki pieniężne na rachunkach bankowych</t>
  </si>
  <si>
    <t>Paypal, Payu</t>
  </si>
  <si>
    <t xml:space="preserve">Odpisy aktualizujące </t>
  </si>
  <si>
    <t>Emisja</t>
  </si>
  <si>
    <t>Odsetki bilansowe od pożyczek</t>
  </si>
  <si>
    <t xml:space="preserve">Sprzedaż </t>
  </si>
  <si>
    <t>Spłata leasingu</t>
  </si>
  <si>
    <t>Odsetki od pożyczek</t>
  </si>
  <si>
    <t>Inne</t>
  </si>
  <si>
    <t xml:space="preserve">Jednostki powiązane </t>
  </si>
  <si>
    <t>Konta email, serwery, konta na portalach internetowych</t>
  </si>
  <si>
    <t>korekta VAT - 150 dni</t>
  </si>
  <si>
    <t>Rezerwa na zobowiązanie z tytułu korekty VAT (ulga na złe długi)</t>
  </si>
  <si>
    <t>Koszty według rodzajów ogółem</t>
  </si>
  <si>
    <t>Pozycje ujęte w kosztach amortyzacji</t>
  </si>
  <si>
    <t>Czynne rozliczenia międzyokresowe kosztów</t>
  </si>
  <si>
    <t>01.01.2018 - 31.12.2018</t>
  </si>
  <si>
    <t>stan na 31.12.2018r.</t>
  </si>
  <si>
    <t>stan na 31.12.2017r.</t>
  </si>
  <si>
    <t>Zysk / Strata brutto</t>
  </si>
  <si>
    <t>Zwiększenie/zmniejszenie stanu zapasów</t>
  </si>
  <si>
    <t>Zwiększenie/zmniejszenie stanu należności</t>
  </si>
  <si>
    <t>Zwiększenie/zmniejszenie stanu zobowiązań, z wyjątkiem kredytów i pożyczek oraz innych zobowiązań finansowych</t>
  </si>
  <si>
    <t>Zmiana stanu rozliczeń międzyokresowych</t>
  </si>
  <si>
    <t>Podatek dochodowy zapłacony</t>
  </si>
  <si>
    <t>Sprzedaż rzeczowych aktywów trwałych i aktywów niematerialnych</t>
  </si>
  <si>
    <t>Sprzedaż nieruchomości inwestycyjnych</t>
  </si>
  <si>
    <t>Sprzedaż inwestycji w jednostkach zależnych, stowarzyszonych i wspólnych przedsięwzięciach</t>
  </si>
  <si>
    <t xml:space="preserve">Spłata udzielonych pożyczek </t>
  </si>
  <si>
    <t>Nabycie rzeczowych akywów trwałych i aktywów niematerialnych</t>
  </si>
  <si>
    <t>Nabycie nieruchomości inwestycyjnych</t>
  </si>
  <si>
    <t>Nabycie inwestycji w jednostkach zależnych, stowarzyszonych i wspólnych przedsięwzięciach</t>
  </si>
  <si>
    <t>Udzielenie pożyczek</t>
  </si>
  <si>
    <t>Wpływy z tytułu emisji akcji</t>
  </si>
  <si>
    <t>Wpływy z tytułu zaciągnięcia pożyczek/kredytów</t>
  </si>
  <si>
    <t>Spłaty pożyczek/kredytów</t>
  </si>
  <si>
    <t>Spłata zobowiązań z tytułu leasingu finansowego</t>
  </si>
  <si>
    <t>Odsetki zapłacone</t>
  </si>
  <si>
    <t>Dywidendy wypłacone</t>
  </si>
  <si>
    <t>dwanaście miesięcy zakończonych 31.12.2018r.</t>
  </si>
  <si>
    <t>dwanaście miesięcy zakończonych 31.12.2017r.</t>
  </si>
  <si>
    <t>Kapitał własny na dzień 01.01.2018r.</t>
  </si>
  <si>
    <t>Kapitał własny na dzień 31.12.2018r.</t>
  </si>
  <si>
    <t>Kapitał własny na dzień 01.01.2017r.</t>
  </si>
  <si>
    <t>Kapitał własny na dzień 31.12.2017r.</t>
  </si>
  <si>
    <t>Wynik za rok 2018</t>
  </si>
  <si>
    <t>Fundusze specjalne</t>
  </si>
  <si>
    <t>Zmiany środków trwałych (wg grup rodzajowych) – za okres 01.01.2018-31.12.2018r.</t>
  </si>
  <si>
    <t>Wartość bilansowa brutto na dzień 01.01.2018r.</t>
  </si>
  <si>
    <t>Wartość bilansowa brutto na dzień 31.12.2018r.</t>
  </si>
  <si>
    <t>Umorzenie na dzień 01.01.2018r.</t>
  </si>
  <si>
    <t>Umorzenie na dzień 31.12.2018r.</t>
  </si>
  <si>
    <t>Wartość bilansowa netto na dzień 31.12.2018r.</t>
  </si>
  <si>
    <t>Zmiany środków trwałych (wg grup rodzajowych) – za okres 01.01.2017-31.12.2017r.</t>
  </si>
  <si>
    <t>Wartość bilansowa brutto na dzień 01.01.2017r.</t>
  </si>
  <si>
    <t>Wartość bilansowa brutto na dzień 31.12.2017r.</t>
  </si>
  <si>
    <t>Umorzenie na dzień 01.01.2017r.</t>
  </si>
  <si>
    <t>Umorzenie na dzień 31.12.2017r.</t>
  </si>
  <si>
    <t>Wartość bilansowa netto na dzień 31.12.2017r.</t>
  </si>
  <si>
    <t>Zmiany wartości niematerialnych  (wg grup rodzajowych) – za okres 01.01.2018r.-31.12.2018r.</t>
  </si>
  <si>
    <t>Zmiany wartości niematerialnych  (wg grup rodzajowych) – za okres 01.01.2017r.-31.12.2017r.</t>
  </si>
  <si>
    <t>Inwestycje w jednostkach zależnych na dzień 31.12.2018r.</t>
  </si>
  <si>
    <t>Inwestycje w jednostkach zależnych na dzień 31.12.2017r.</t>
  </si>
  <si>
    <t>Salelifter sp. z o.o., Rybnik</t>
  </si>
  <si>
    <t>JU sp. z o.o. Rybnik</t>
  </si>
  <si>
    <t>Videotarget sp. z o.o, Warszawa</t>
  </si>
  <si>
    <t>Sales Intelligence S.A., Gdynia</t>
  </si>
  <si>
    <t>Fast White Cat S.A., Wrocław</t>
  </si>
  <si>
    <t>Adepto sp. z o.o, Rybnik</t>
  </si>
  <si>
    <t>Cashback sp. z o.o, Rybnik</t>
  </si>
  <si>
    <t>Kapitał zakładowy struktura na dzień 31.12.2018</t>
  </si>
  <si>
    <t>Stan na 01.01.2018r.</t>
  </si>
  <si>
    <t>Stan na 01.01.2017r.</t>
  </si>
  <si>
    <t>Stan na 31.12.2018r, w tym:</t>
  </si>
  <si>
    <t>Stan na 31.12.2017r, w tym:</t>
  </si>
  <si>
    <t>INIS Sp. z o.o.</t>
  </si>
  <si>
    <t>JU: Sp. z o.o.</t>
  </si>
  <si>
    <t>Salelifter Sp. z o.o.*</t>
  </si>
  <si>
    <t>Videotarget Sp. z o.o.</t>
  </si>
  <si>
    <t>Sales Intelligence S.A.</t>
  </si>
  <si>
    <t>Fast White Cat Sp. z o.o.</t>
  </si>
  <si>
    <t>EMT Tomasz Kuciel</t>
  </si>
  <si>
    <t>Data Info Cezary Kożon</t>
  </si>
  <si>
    <t>Salelifter Sp. z o.o.* - pokazany łącznie ze spółką Teletarget</t>
  </si>
  <si>
    <t>Zysk ze zbycia niefinansowych aktywów trwałych</t>
  </si>
  <si>
    <t>Odpisy aktualizujące niefinansowe aktywa trwałe</t>
  </si>
  <si>
    <t>Przychody  zwiększające podstawę do opodatkowania</t>
  </si>
  <si>
    <t>- przyjęcia środka trwałego</t>
  </si>
  <si>
    <t xml:space="preserve"> - przyjęcia środka trwałego</t>
  </si>
  <si>
    <t>Nakłady na prace rozwojowe</t>
  </si>
  <si>
    <t xml:space="preserve"> -sprzedaży</t>
  </si>
  <si>
    <t>- odpisu aktualizujący</t>
  </si>
  <si>
    <t>- przyjęcia projektów na wartości niematerialne i prawne</t>
  </si>
  <si>
    <t xml:space="preserve"> -likwidacji</t>
  </si>
  <si>
    <t>Bieżące i przeterminowane należności handlowe na 31.12.2018 r.</t>
  </si>
  <si>
    <t>Zobowiązania z tytułu leasingu</t>
  </si>
  <si>
    <t>- założenie spółek</t>
  </si>
  <si>
    <t>- przekształcenie spółki zależnej</t>
  </si>
  <si>
    <t>01.01.2018-31.12.2018</t>
  </si>
  <si>
    <t>01.01.2017-31.12.2017</t>
  </si>
  <si>
    <t>Korekty związane z wprowadzeniem MSSF 9</t>
  </si>
  <si>
    <t>Stan odpisów aktualizujących wartość należności handlowych na początek okresu po korektach</t>
  </si>
  <si>
    <t>-dokonanie odpisów na należności w związku z zastosowaniem MSSF 9</t>
  </si>
  <si>
    <t>- wycena bilansowa</t>
  </si>
  <si>
    <t>- wyksięgowanie należności i odpisu</t>
  </si>
  <si>
    <t>Polinvest 7 S.a.r.l.</t>
  </si>
  <si>
    <t>Zmiany zasad (polityki) rachunkowości w związku z wprowadzeniem MSSF 9</t>
  </si>
  <si>
    <t>Licencje</t>
  </si>
  <si>
    <t>Targi</t>
  </si>
  <si>
    <t>Animator rynku</t>
  </si>
  <si>
    <t>dane w pełnych zł</t>
  </si>
  <si>
    <t>Różnice kursowe z przeliczenia jednostek działających za granicą</t>
  </si>
  <si>
    <t>Przeszacowanie rzeczowego majątku trwałego</t>
  </si>
  <si>
    <t>Ubezpieczenia majątkowe</t>
  </si>
  <si>
    <t>`</t>
  </si>
  <si>
    <t>Umowa leasingu</t>
  </si>
  <si>
    <t xml:space="preserve">Stan na początek okresu </t>
  </si>
  <si>
    <t>aktualizacja wartości aktywów finansowych</t>
  </si>
  <si>
    <t>bilansowa zmiana stanu rezerw na zobowiązania</t>
  </si>
  <si>
    <t>korekta o otrzymany kredyt</t>
  </si>
  <si>
    <t>Amortyzacja:</t>
  </si>
  <si>
    <t>przychody ze sprzedaży wartości niematerialnych</t>
  </si>
  <si>
    <t>Odpis aktualizujący na dzień 01.01.2018r.</t>
  </si>
  <si>
    <t>Zwiększenia</t>
  </si>
  <si>
    <t>Odpis aktualizujący na dzień 31.12.2018r.</t>
  </si>
  <si>
    <r>
      <t xml:space="preserve">Jeżeli Spółka sporządza skonsolidowane sprawozdanie finansowe wówczas segmenty prezentowane są </t>
    </r>
    <r>
      <rPr>
        <b/>
        <u val="single"/>
        <sz val="10"/>
        <color indexed="10"/>
        <rFont val="Arial"/>
        <family val="2"/>
      </rPr>
      <t>tylko i wyłącznie</t>
    </r>
    <r>
      <rPr>
        <b/>
        <sz val="10"/>
        <color indexed="10"/>
        <rFont val="Arial"/>
        <family val="2"/>
      </rPr>
      <t xml:space="preserve"> w skonsolidowanym sprawozdaniu finansowym. W jednostkowym sprawozdaniu pozostaje jedynie informacja: „Zostały zamieszczone w nocie 2  skonsolidowanego sprawozdania finansowego za okres 12 miesięcy zakończony 31 grudnia 2018 roku.„</t>
    </r>
  </si>
  <si>
    <t>Inwestycje w jednostkach współzależnych i stowarzyszonych na dzień 31.12.2018r.</t>
  </si>
  <si>
    <t>Inwestycje w jednostkach współzależnych i stowarzyszonych na dzień 31.12.2017r.</t>
  </si>
  <si>
    <t>Nota 12. POZOSTAŁE AKTYWA FINANSOWE</t>
  </si>
  <si>
    <t xml:space="preserve">Nota 13. NALEŻNOŚCI HANDLOWE </t>
  </si>
  <si>
    <t xml:space="preserve">Nota 14. POZOSTAŁE NALEŻNOŚCI </t>
  </si>
  <si>
    <t>Nota 15. ROZLICZENIA MIĘDZYOKRESOWE</t>
  </si>
  <si>
    <t>Nota 16. ŚRODKI PIENIĘŻNE I ICH EKWIWALENTY</t>
  </si>
  <si>
    <t xml:space="preserve">Nota 17. KAPITAŁ ZAKŁADOWY </t>
  </si>
  <si>
    <t xml:space="preserve">Nota 19. NIEPODZIELONY WYNIK FINANSOWY </t>
  </si>
  <si>
    <t>Nota 18. POZOSTAŁE KAPITAŁY</t>
  </si>
  <si>
    <t>Nota 20. KREDYTY I POŻYCZKI</t>
  </si>
  <si>
    <t xml:space="preserve">Nota 21. POZOSTAŁE ZOBOWIĄZANIA FINANSOWE </t>
  </si>
  <si>
    <t xml:space="preserve">Nota 22. ZOBOWIĄZANIA HANDLOWE </t>
  </si>
  <si>
    <t xml:space="preserve">Nota 23. POZOSTAŁE ZOBOWIĄZANIA </t>
  </si>
  <si>
    <t>Nota 24. Rozliczenia międzyokresowe przychodów</t>
  </si>
  <si>
    <t>Nota 25. REZERWY NA ŚWIADCZENIA EMERYTALNE I PODOBNE</t>
  </si>
  <si>
    <t>Nota 26. POZOSTAŁE REZERWY</t>
  </si>
  <si>
    <t>Nota 28. ZARZĄDZANIE KAPITAŁEM</t>
  </si>
  <si>
    <t>Nota 29. INFORMACJE O PODMIOTACH POWIĄZANYCH</t>
  </si>
  <si>
    <t>Nota 30. WYNAGRODZENIE WYŻSZEJ KADRY KIEROWNICZEJ</t>
  </si>
  <si>
    <t>Nota 31. STRUKTURA ZATRUDNIENIA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</si>
</sst>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);\(#,##0\);\-______"/>
    <numFmt numFmtId="169" formatCode="#,##0.000_);\(#,##0.000\);\-______"/>
    <numFmt numFmtId="170" formatCode="#,##0.00_);\(#,##0.00\);\-______"/>
    <numFmt numFmtId="171" formatCode="#,##0.0_);\(#,##0.0\);\-______"/>
    <numFmt numFmtId="172" formatCode="0.0%"/>
    <numFmt numFmtId="173" formatCode="#,##0.00;\(#,##0.00\)"/>
    <numFmt numFmtId="174" formatCode="#,##0.0"/>
    <numFmt numFmtId="175" formatCode="#,##0.0000_);\(#,##0.0000\);\-______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0.0"/>
    <numFmt numFmtId="182" formatCode="_-* #,##0.0\ _z_ł_-;\-* #,##0.0\ _z_ł_-;_-* &quot;-&quot;??\ _z_ł_-;_-@_-"/>
    <numFmt numFmtId="183" formatCode="#,##0.00000_);\(#,##0.00000\);\-______"/>
    <numFmt numFmtId="184" formatCode="#,##0.000000_);\(#,##0.000000\);\-______"/>
    <numFmt numFmtId="185" formatCode="#,##0.0000000_);\(#,##0.0000000\);\-______"/>
    <numFmt numFmtId="186" formatCode="[$-415]d\ mmmm\ yyyy"/>
    <numFmt numFmtId="187" formatCode="#,##0.00\ _z_ł"/>
    <numFmt numFmtId="188" formatCode="0.0000"/>
    <numFmt numFmtId="189" formatCode="[$-415]dddd\,\ d\ mmmm\ yyyy"/>
    <numFmt numFmtId="190" formatCode="yyyy\-mm\-dd;@"/>
  </numFmts>
  <fonts count="82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23"/>
      <name val="Arial"/>
      <family val="2"/>
    </font>
    <font>
      <i/>
      <sz val="8"/>
      <color indexed="55"/>
      <name val="Arial"/>
      <family val="2"/>
    </font>
    <font>
      <b/>
      <sz val="11"/>
      <name val="Arial"/>
      <family val="2"/>
    </font>
    <font>
      <i/>
      <sz val="8"/>
      <color indexed="22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4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55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8"/>
      <color theme="1"/>
      <name val="Czcionka tekstu podstawowego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15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68" fontId="1" fillId="0" borderId="10" xfId="59" applyNumberFormat="1" applyFont="1" applyFill="1" applyBorder="1" applyAlignment="1" applyProtection="1">
      <alignment/>
      <protection locked="0"/>
    </xf>
    <xf numFmtId="168" fontId="5" fillId="0" borderId="0" xfId="59" applyNumberFormat="1" applyFont="1" applyFill="1" applyBorder="1" applyAlignment="1" applyProtection="1">
      <alignment/>
      <protection locked="0"/>
    </xf>
    <xf numFmtId="172" fontId="1" fillId="0" borderId="10" xfId="59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58" applyFont="1" applyBorder="1">
      <alignment/>
      <protection/>
    </xf>
    <xf numFmtId="0" fontId="0" fillId="33" borderId="0" xfId="58" applyFont="1" applyFill="1" applyBorder="1" applyAlignment="1">
      <alignment vertical="center"/>
      <protection/>
    </xf>
    <xf numFmtId="0" fontId="18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20" fillId="0" borderId="0" xfId="58" applyFont="1" applyFill="1" applyBorder="1" applyAlignment="1">
      <alignment wrapText="1"/>
      <protection/>
    </xf>
    <xf numFmtId="4" fontId="20" fillId="0" borderId="0" xfId="58" applyNumberFormat="1" applyFont="1" applyFill="1" applyBorder="1" applyAlignment="1" applyProtection="1">
      <alignment wrapText="1"/>
      <protection locked="0"/>
    </xf>
    <xf numFmtId="0" fontId="20" fillId="0" borderId="0" xfId="58" applyFont="1" applyBorder="1">
      <alignment/>
      <protection/>
    </xf>
    <xf numFmtId="0" fontId="0" fillId="0" borderId="0" xfId="58" applyFont="1" applyFill="1" applyBorder="1">
      <alignment/>
      <protection/>
    </xf>
    <xf numFmtId="4" fontId="0" fillId="0" borderId="0" xfId="58" applyNumberFormat="1" applyFont="1" applyFill="1" applyBorder="1" applyAlignment="1" applyProtection="1">
      <alignment wrapText="1"/>
      <protection locked="0"/>
    </xf>
    <xf numFmtId="0" fontId="0" fillId="0" borderId="0" xfId="58" applyFont="1" applyFill="1" applyBorder="1" applyAlignment="1">
      <alignment wrapText="1"/>
      <protection/>
    </xf>
    <xf numFmtId="4" fontId="21" fillId="0" borderId="0" xfId="58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0" xfId="58" applyFont="1" applyBorder="1" applyAlignment="1">
      <alignment wrapText="1"/>
      <protection/>
    </xf>
    <xf numFmtId="0" fontId="0" fillId="0" borderId="0" xfId="58" applyFont="1">
      <alignment/>
      <protection/>
    </xf>
    <xf numFmtId="0" fontId="0" fillId="33" borderId="0" xfId="58" applyFont="1" applyFill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8" fillId="0" borderId="0" xfId="58" applyFont="1" applyAlignment="1">
      <alignment vertical="center"/>
      <protection/>
    </xf>
    <xf numFmtId="0" fontId="20" fillId="0" borderId="0" xfId="58" applyFont="1" applyAlignment="1">
      <alignment vertical="center"/>
      <protection/>
    </xf>
    <xf numFmtId="0" fontId="20" fillId="0" borderId="0" xfId="58" applyFont="1">
      <alignment/>
      <protection/>
    </xf>
    <xf numFmtId="0" fontId="0" fillId="34" borderId="0" xfId="58" applyFont="1" applyFill="1" applyAlignment="1">
      <alignment vertical="center"/>
      <protection/>
    </xf>
    <xf numFmtId="0" fontId="13" fillId="0" borderId="0" xfId="58" applyFont="1" applyFill="1" applyBorder="1" applyAlignment="1">
      <alignment vertical="center"/>
      <protection/>
    </xf>
    <xf numFmtId="0" fontId="6" fillId="0" borderId="0" xfId="46" applyFont="1" applyAlignment="1" applyProtection="1" quotePrefix="1">
      <alignment vertical="top"/>
      <protection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18" fillId="0" borderId="0" xfId="58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wrapText="1"/>
    </xf>
    <xf numFmtId="0" fontId="6" fillId="0" borderId="0" xfId="46" applyFont="1" applyFill="1" applyBorder="1" applyAlignment="1" applyProtection="1" quotePrefix="1">
      <alignment vertical="top"/>
      <protection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46" applyFont="1" applyFill="1" applyAlignment="1" applyProtection="1" quotePrefix="1">
      <alignment vertical="top"/>
      <protection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wrapText="1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170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 indent="3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wrapText="1" indent="3"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168" fontId="5" fillId="35" borderId="10" xfId="59" applyNumberFormat="1" applyFont="1" applyFill="1" applyBorder="1" applyAlignment="1" applyProtection="1">
      <alignment horizontal="center" vertical="center" wrapText="1"/>
      <protection locked="0"/>
    </xf>
    <xf numFmtId="168" fontId="5" fillId="35" borderId="14" xfId="59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/>
    </xf>
    <xf numFmtId="0" fontId="14" fillId="0" borderId="0" xfId="0" applyFont="1" applyFill="1" applyBorder="1" applyAlignment="1">
      <alignment horizontal="justify" wrapText="1"/>
    </xf>
    <xf numFmtId="0" fontId="5" fillId="35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justify"/>
    </xf>
    <xf numFmtId="0" fontId="5" fillId="35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justify"/>
    </xf>
    <xf numFmtId="170" fontId="1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3" fontId="1" fillId="0" borderId="10" xfId="59" applyNumberFormat="1" applyFont="1" applyFill="1" applyBorder="1" applyAlignment="1" applyProtection="1">
      <alignment/>
      <protection locked="0"/>
    </xf>
    <xf numFmtId="3" fontId="5" fillId="0" borderId="10" xfId="59" applyNumberFormat="1" applyFont="1" applyFill="1" applyBorder="1" applyAlignment="1" applyProtection="1">
      <alignment/>
      <protection locked="0"/>
    </xf>
    <xf numFmtId="3" fontId="5" fillId="0" borderId="10" xfId="59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justify"/>
    </xf>
    <xf numFmtId="0" fontId="1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justify" wrapText="1"/>
    </xf>
    <xf numFmtId="49" fontId="1" fillId="0" borderId="12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wrapText="1"/>
    </xf>
    <xf numFmtId="168" fontId="5" fillId="35" borderId="10" xfId="59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right" wrapText="1"/>
    </xf>
    <xf numFmtId="3" fontId="3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 indent="3"/>
    </xf>
    <xf numFmtId="3" fontId="2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1" fillId="0" borderId="10" xfId="59" applyNumberFormat="1" applyFont="1" applyFill="1" applyBorder="1" applyAlignment="1" applyProtection="1">
      <alignment/>
      <protection locked="0"/>
    </xf>
    <xf numFmtId="0" fontId="2" fillId="35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0" fillId="0" borderId="10" xfId="0" applyFont="1" applyFill="1" applyBorder="1" applyAlignment="1">
      <alignment wrapText="1"/>
    </xf>
    <xf numFmtId="170" fontId="5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2" xfId="59" applyNumberFormat="1" applyFont="1" applyFill="1" applyBorder="1" applyAlignment="1" applyProtection="1">
      <alignment/>
      <protection locked="0"/>
    </xf>
    <xf numFmtId="3" fontId="5" fillId="0" borderId="12" xfId="59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0" xfId="58" applyFont="1" applyBorder="1" applyAlignment="1">
      <alignment wrapText="1"/>
      <protection/>
    </xf>
    <xf numFmtId="0" fontId="2" fillId="0" borderId="0" xfId="0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 indent="3"/>
    </xf>
    <xf numFmtId="0" fontId="9" fillId="0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58" applyNumberFormat="1" applyFont="1" applyFill="1" applyBorder="1" applyAlignment="1">
      <alignment vertical="center" wrapText="1"/>
      <protection/>
    </xf>
    <xf numFmtId="49" fontId="1" fillId="0" borderId="10" xfId="58" applyNumberFormat="1" applyFont="1" applyFill="1" applyBorder="1" applyAlignment="1">
      <alignment horizontal="left" vertical="center" wrapText="1"/>
      <protection/>
    </xf>
    <xf numFmtId="49" fontId="10" fillId="0" borderId="10" xfId="58" applyNumberFormat="1" applyFont="1" applyFill="1" applyBorder="1" applyAlignment="1">
      <alignment horizontal="left" vertical="center" wrapText="1"/>
      <protection/>
    </xf>
    <xf numFmtId="49" fontId="1" fillId="0" borderId="10" xfId="58" applyNumberFormat="1" applyFont="1" applyFill="1" applyBorder="1" applyAlignment="1">
      <alignment vertical="center" wrapText="1"/>
      <protection/>
    </xf>
    <xf numFmtId="49" fontId="10" fillId="0" borderId="10" xfId="58" applyNumberFormat="1" applyFont="1" applyFill="1" applyBorder="1" applyAlignment="1">
      <alignment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justify" vertical="center" wrapText="1"/>
    </xf>
    <xf numFmtId="4" fontId="5" fillId="0" borderId="10" xfId="58" applyNumberFormat="1" applyFont="1" applyFill="1" applyBorder="1" applyAlignment="1">
      <alignment horizontal="right" vertical="center" wrapText="1"/>
      <protection/>
    </xf>
    <xf numFmtId="4" fontId="1" fillId="0" borderId="10" xfId="58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5" fillId="35" borderId="10" xfId="58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1" fillId="0" borderId="0" xfId="58" applyFont="1" applyAlignment="1">
      <alignment vertical="center"/>
      <protection/>
    </xf>
    <xf numFmtId="0" fontId="1" fillId="0" borderId="0" xfId="58" applyFont="1" applyFill="1" applyAlignment="1">
      <alignment vertical="center"/>
      <protection/>
    </xf>
    <xf numFmtId="0" fontId="1" fillId="33" borderId="0" xfId="58" applyFont="1" applyFill="1" applyAlignment="1">
      <alignment vertical="center"/>
      <protection/>
    </xf>
    <xf numFmtId="49" fontId="5" fillId="0" borderId="11" xfId="58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49" fontId="1" fillId="0" borderId="10" xfId="58" applyNumberFormat="1" applyFont="1" applyFill="1" applyBorder="1" applyAlignment="1">
      <alignment horizontal="left" vertical="center" wrapText="1" indent="1"/>
      <protection/>
    </xf>
    <xf numFmtId="0" fontId="24" fillId="0" borderId="0" xfId="46" applyFont="1" applyBorder="1" applyAlignment="1" applyProtection="1" quotePrefix="1">
      <alignment vertical="top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49" fontId="5" fillId="35" borderId="15" xfId="58" applyNumberFormat="1" applyFont="1" applyFill="1" applyBorder="1" applyAlignment="1">
      <alignment horizontal="center" vertical="center" wrapText="1"/>
      <protection/>
    </xf>
    <xf numFmtId="49" fontId="5" fillId="35" borderId="10" xfId="5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>
      <alignment/>
    </xf>
    <xf numFmtId="0" fontId="0" fillId="0" borderId="0" xfId="58" applyFont="1" applyFill="1" applyAlignment="1">
      <alignment vertical="center"/>
      <protection/>
    </xf>
    <xf numFmtId="0" fontId="20" fillId="0" borderId="0" xfId="0" applyFont="1" applyFill="1" applyAlignment="1">
      <alignment/>
    </xf>
    <xf numFmtId="0" fontId="24" fillId="0" borderId="0" xfId="46" applyFont="1" applyFill="1" applyBorder="1" applyAlignment="1" applyProtection="1" quotePrefix="1">
      <alignment vertical="top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left" wrapText="1"/>
    </xf>
    <xf numFmtId="3" fontId="1" fillId="0" borderId="10" xfId="0" applyNumberFormat="1" applyFont="1" applyFill="1" applyBorder="1" applyAlignment="1" quotePrefix="1">
      <alignment/>
    </xf>
    <xf numFmtId="0" fontId="25" fillId="0" borderId="0" xfId="46" applyFont="1" applyFill="1" applyAlignment="1" applyProtection="1" quotePrefix="1">
      <alignment vertical="top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/>
    </xf>
    <xf numFmtId="0" fontId="25" fillId="0" borderId="0" xfId="46" applyFont="1" applyFill="1" applyAlignment="1" applyProtection="1" quotePrefix="1">
      <alignment vertical="top"/>
      <protection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justify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" fillId="36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/>
    </xf>
    <xf numFmtId="0" fontId="3" fillId="0" borderId="10" xfId="0" applyFont="1" applyFill="1" applyBorder="1" applyAlignment="1" quotePrefix="1">
      <alignment vertical="top" wrapText="1"/>
    </xf>
    <xf numFmtId="0" fontId="2" fillId="0" borderId="0" xfId="0" applyFont="1" applyFill="1" applyBorder="1" applyAlignment="1">
      <alignment vertical="top" wrapText="1"/>
    </xf>
    <xf numFmtId="3" fontId="1" fillId="36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3" fontId="5" fillId="0" borderId="10" xfId="59" applyNumberFormat="1" applyFont="1" applyFill="1" applyBorder="1" applyAlignment="1" applyProtection="1">
      <alignment vertical="center"/>
      <protection locked="0"/>
    </xf>
    <xf numFmtId="3" fontId="1" fillId="0" borderId="10" xfId="59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vertical="center" wrapText="1"/>
    </xf>
    <xf numFmtId="3" fontId="1" fillId="0" borderId="10" xfId="59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indent="1"/>
    </xf>
    <xf numFmtId="3" fontId="10" fillId="0" borderId="10" xfId="59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quotePrefix="1">
      <alignment wrapText="1"/>
    </xf>
    <xf numFmtId="0" fontId="1" fillId="0" borderId="10" xfId="0" applyFont="1" applyFill="1" applyBorder="1" applyAlignment="1" quotePrefix="1">
      <alignment vertical="top" wrapText="1"/>
    </xf>
    <xf numFmtId="3" fontId="5" fillId="0" borderId="10" xfId="59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>
      <alignment wrapText="1"/>
    </xf>
    <xf numFmtId="0" fontId="10" fillId="0" borderId="13" xfId="0" applyFont="1" applyBorder="1" applyAlignment="1">
      <alignment horizontal="justify" wrapText="1"/>
    </xf>
    <xf numFmtId="3" fontId="8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10" fillId="0" borderId="18" xfId="0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right" vertical="top" wrapText="1"/>
    </xf>
    <xf numFmtId="3" fontId="3" fillId="36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3" fontId="1" fillId="36" borderId="0" xfId="0" applyNumberFormat="1" applyFont="1" applyFill="1" applyBorder="1" applyAlignment="1">
      <alignment horizontal="right" vertical="center" wrapText="1"/>
    </xf>
    <xf numFmtId="3" fontId="1" fillId="36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1" fillId="36" borderId="0" xfId="0" applyNumberFormat="1" applyFont="1" applyFill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1" fillId="36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left" wrapText="1" indent="1"/>
    </xf>
    <xf numFmtId="3" fontId="3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28" fillId="0" borderId="0" xfId="0" applyNumberFormat="1" applyFont="1" applyFill="1" applyAlignment="1" applyProtection="1">
      <alignment horizontal="center" wrapText="1"/>
      <protection locked="0"/>
    </xf>
    <xf numFmtId="0" fontId="2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58" applyFont="1">
      <alignment/>
      <protection/>
    </xf>
    <xf numFmtId="0" fontId="0" fillId="0" borderId="0" xfId="58" applyFont="1" applyFill="1" applyBorder="1" applyAlignment="1">
      <alignment vertical="center"/>
      <protection/>
    </xf>
    <xf numFmtId="0" fontId="31" fillId="0" borderId="0" xfId="58" applyFont="1" applyFill="1" applyBorder="1" applyAlignment="1">
      <alignment vertical="center"/>
      <protection/>
    </xf>
    <xf numFmtId="0" fontId="19" fillId="0" borderId="0" xfId="58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3" fontId="5" fillId="0" borderId="10" xfId="58" applyNumberFormat="1" applyFont="1" applyFill="1" applyBorder="1" applyAlignment="1">
      <alignment horizontal="right" vertical="center" wrapText="1"/>
      <protection/>
    </xf>
    <xf numFmtId="3" fontId="1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8" applyNumberFormat="1" applyFont="1" applyFill="1" applyBorder="1" applyAlignment="1">
      <alignment horizontal="right" vertical="center" wrapText="1"/>
      <protection/>
    </xf>
    <xf numFmtId="3" fontId="10" fillId="0" borderId="10" xfId="58" applyNumberFormat="1" applyFont="1" applyFill="1" applyBorder="1" applyAlignment="1">
      <alignment horizontal="right" vertical="center" wrapText="1"/>
      <protection/>
    </xf>
    <xf numFmtId="3" fontId="10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58" applyNumberFormat="1" applyFont="1" applyFill="1" applyBorder="1" applyAlignment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58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>
      <alignment horizontal="right" vertical="center"/>
    </xf>
    <xf numFmtId="3" fontId="5" fillId="0" borderId="10" xfId="58" applyNumberFormat="1" applyFont="1" applyFill="1" applyBorder="1" applyAlignment="1">
      <alignment horizontal="left" vertical="center" wrapText="1" indent="1"/>
      <protection/>
    </xf>
    <xf numFmtId="3" fontId="1" fillId="0" borderId="10" xfId="58" applyNumberFormat="1" applyFont="1" applyFill="1" applyBorder="1" applyAlignment="1">
      <alignment horizontal="left" vertical="center" wrapText="1" indent="1"/>
      <protection/>
    </xf>
    <xf numFmtId="3" fontId="5" fillId="0" borderId="10" xfId="58" applyNumberFormat="1" applyFont="1" applyFill="1" applyBorder="1" applyAlignment="1">
      <alignment vertical="center" wrapText="1"/>
      <protection/>
    </xf>
    <xf numFmtId="3" fontId="5" fillId="0" borderId="10" xfId="58" applyNumberFormat="1" applyFont="1" applyBorder="1" applyAlignment="1">
      <alignment horizontal="left" vertical="center" inden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3" fontId="5" fillId="34" borderId="10" xfId="58" applyNumberFormat="1" applyFont="1" applyFill="1" applyBorder="1" applyAlignment="1">
      <alignment horizontal="right" vertical="center"/>
      <protection/>
    </xf>
    <xf numFmtId="3" fontId="1" fillId="0" borderId="10" xfId="58" applyNumberFormat="1" applyFont="1" applyFill="1" applyBorder="1" applyAlignment="1" applyProtection="1">
      <alignment vertical="center" wrapText="1"/>
      <protection locked="0"/>
    </xf>
    <xf numFmtId="3" fontId="5" fillId="0" borderId="10" xfId="58" applyNumberFormat="1" applyFont="1" applyFill="1" applyBorder="1" applyAlignment="1" applyProtection="1">
      <alignment vertical="center" wrapText="1"/>
      <protection locked="0"/>
    </xf>
    <xf numFmtId="3" fontId="1" fillId="0" borderId="10" xfId="58" applyNumberFormat="1" applyFont="1" applyFill="1" applyBorder="1" applyAlignment="1">
      <alignment vertical="center" wrapText="1"/>
      <protection/>
    </xf>
    <xf numFmtId="3" fontId="5" fillId="0" borderId="10" xfId="58" applyNumberFormat="1" applyFont="1" applyFill="1" applyBorder="1" applyAlignment="1" applyProtection="1">
      <alignment horizontal="left" vertical="center" wrapText="1"/>
      <protection/>
    </xf>
    <xf numFmtId="3" fontId="1" fillId="0" borderId="10" xfId="58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 quotePrefix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 quotePrefix="1">
      <alignment vertical="center"/>
    </xf>
    <xf numFmtId="0" fontId="5" fillId="0" borderId="0" xfId="0" applyFont="1" applyBorder="1" applyAlignment="1">
      <alignment wrapText="1"/>
    </xf>
    <xf numFmtId="3" fontId="1" fillId="0" borderId="0" xfId="0" applyNumberFormat="1" applyFont="1" applyFill="1" applyBorder="1" applyAlignment="1" quotePrefix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1" fillId="36" borderId="0" xfId="0" applyNumberFormat="1" applyFont="1" applyFill="1" applyBorder="1" applyAlignment="1">
      <alignment horizontal="right" wrapText="1"/>
    </xf>
    <xf numFmtId="0" fontId="1" fillId="0" borderId="0" xfId="58" applyFont="1" applyAlignment="1" quotePrefix="1">
      <alignment vertical="center"/>
      <protection/>
    </xf>
    <xf numFmtId="3" fontId="2" fillId="35" borderId="10" xfId="0" applyNumberFormat="1" applyFont="1" applyFill="1" applyBorder="1" applyAlignment="1">
      <alignment horizontal="center" vertical="center" wrapText="1"/>
    </xf>
    <xf numFmtId="9" fontId="5" fillId="0" borderId="10" xfId="63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3" fontId="1" fillId="0" borderId="0" xfId="0" applyNumberFormat="1" applyFont="1" applyFill="1" applyAlignment="1">
      <alignment vertical="center"/>
    </xf>
    <xf numFmtId="170" fontId="1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3" fontId="5" fillId="0" borderId="13" xfId="0" applyNumberFormat="1" applyFont="1" applyFill="1" applyBorder="1" applyAlignment="1">
      <alignment/>
    </xf>
    <xf numFmtId="49" fontId="1" fillId="0" borderId="10" xfId="59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Alignment="1">
      <alignment horizontal="justify"/>
    </xf>
    <xf numFmtId="0" fontId="5" fillId="35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170" fontId="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" fillId="0" borderId="0" xfId="58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quotePrefix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3" fontId="2" fillId="0" borderId="10" xfId="0" applyNumberFormat="1" applyFont="1" applyBorder="1" applyAlignment="1">
      <alignment vertical="center" wrapText="1"/>
    </xf>
    <xf numFmtId="0" fontId="28" fillId="22" borderId="0" xfId="0" applyNumberFormat="1" applyFont="1" applyFill="1" applyAlignment="1" applyProtection="1">
      <alignment horizontal="center"/>
      <protection locked="0"/>
    </xf>
    <xf numFmtId="0" fontId="30" fillId="22" borderId="0" xfId="0" applyNumberFormat="1" applyFont="1" applyFill="1" applyAlignment="1" applyProtection="1">
      <alignment horizontal="center"/>
      <protection locked="0"/>
    </xf>
    <xf numFmtId="0" fontId="0" fillId="22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30" fillId="11" borderId="0" xfId="0" applyFont="1" applyFill="1" applyAlignment="1" applyProtection="1">
      <alignment horizontal="center"/>
      <protection locked="0"/>
    </xf>
    <xf numFmtId="0" fontId="28" fillId="22" borderId="19" xfId="0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/>
    </xf>
    <xf numFmtId="0" fontId="78" fillId="0" borderId="0" xfId="0" applyFont="1" applyAlignment="1">
      <alignment horizontal="justify"/>
    </xf>
    <xf numFmtId="0" fontId="78" fillId="0" borderId="0" xfId="0" applyFont="1" applyAlignment="1">
      <alignment horizontal="left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justify"/>
    </xf>
    <xf numFmtId="0" fontId="27" fillId="0" borderId="0" xfId="0" applyFont="1" applyFill="1" applyBorder="1" applyAlignment="1">
      <alignment vertical="top" wrapText="1"/>
    </xf>
    <xf numFmtId="0" fontId="25" fillId="0" borderId="0" xfId="46" applyFont="1" applyBorder="1" applyAlignment="1" applyProtection="1" quotePrefix="1">
      <alignment vertical="top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0" xfId="46" applyFont="1" applyBorder="1" applyAlignment="1" applyProtection="1" quotePrefix="1">
      <alignment vertical="top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center" wrapText="1"/>
    </xf>
    <xf numFmtId="0" fontId="9" fillId="0" borderId="0" xfId="58" applyFont="1" applyFill="1" applyBorder="1" applyAlignment="1">
      <alignment vertical="center"/>
      <protection/>
    </xf>
    <xf numFmtId="188" fontId="1" fillId="0" borderId="0" xfId="0" applyNumberFormat="1" applyFont="1" applyFill="1" applyAlignment="1">
      <alignment/>
    </xf>
    <xf numFmtId="0" fontId="1" fillId="0" borderId="0" xfId="56" applyFont="1" applyFill="1" applyBorder="1">
      <alignment/>
      <protection/>
    </xf>
    <xf numFmtId="3" fontId="10" fillId="0" borderId="10" xfId="58" applyNumberFormat="1" applyFont="1" applyFill="1" applyBorder="1" applyAlignment="1" applyProtection="1" quotePrefix="1">
      <alignment horizontal="right" vertical="center" wrapText="1"/>
      <protection locked="0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right" vertical="center" wrapText="1"/>
    </xf>
    <xf numFmtId="3" fontId="1" fillId="37" borderId="10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 quotePrefix="1">
      <alignment vertical="top" wrapText="1"/>
    </xf>
    <xf numFmtId="4" fontId="1" fillId="0" borderId="10" xfId="0" applyNumberFormat="1" applyFont="1" applyFill="1" applyBorder="1" applyAlignment="1">
      <alignment/>
    </xf>
    <xf numFmtId="49" fontId="1" fillId="0" borderId="10" xfId="59" applyNumberFormat="1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/>
    </xf>
    <xf numFmtId="10" fontId="1" fillId="0" borderId="10" xfId="59" applyNumberFormat="1" applyFont="1" applyFill="1" applyBorder="1" applyAlignment="1" applyProtection="1">
      <alignment/>
      <protection locked="0"/>
    </xf>
    <xf numFmtId="10" fontId="5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0" fontId="5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indent="1"/>
    </xf>
    <xf numFmtId="168" fontId="1" fillId="0" borderId="0" xfId="59" applyNumberFormat="1" applyFont="1" applyFill="1" applyBorder="1" applyAlignment="1" applyProtection="1">
      <alignment/>
      <protection locked="0"/>
    </xf>
    <xf numFmtId="172" fontId="1" fillId="0" borderId="0" xfId="59" applyNumberFormat="1" applyFont="1" applyFill="1" applyBorder="1" applyAlignment="1" applyProtection="1">
      <alignment wrapText="1"/>
      <protection locked="0"/>
    </xf>
    <xf numFmtId="3" fontId="1" fillId="0" borderId="0" xfId="59" applyNumberFormat="1" applyFont="1" applyFill="1" applyBorder="1" applyAlignment="1" applyProtection="1">
      <alignment/>
      <protection locked="0"/>
    </xf>
    <xf numFmtId="3" fontId="5" fillId="0" borderId="0" xfId="0" applyNumberFormat="1" applyFont="1" applyBorder="1" applyAlignment="1">
      <alignment horizontal="right" wrapText="1"/>
    </xf>
    <xf numFmtId="0" fontId="3" fillId="0" borderId="10" xfId="0" applyFont="1" applyFill="1" applyBorder="1" applyAlignment="1" quotePrefix="1">
      <alignment horizontal="left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87" fontId="79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3" fontId="37" fillId="0" borderId="10" xfId="0" applyNumberFormat="1" applyFont="1" applyFill="1" applyBorder="1" applyAlignment="1">
      <alignment horizontal="right" wrapText="1"/>
    </xf>
    <xf numFmtId="3" fontId="1" fillId="37" borderId="10" xfId="0" applyNumberFormat="1" applyFont="1" applyFill="1" applyBorder="1" applyAlignment="1">
      <alignment vertical="center"/>
    </xf>
    <xf numFmtId="3" fontId="1" fillId="0" borderId="10" xfId="60" applyNumberFormat="1" applyFont="1" applyFill="1" applyBorder="1" applyAlignment="1" applyProtection="1">
      <alignment/>
      <protection locked="0"/>
    </xf>
    <xf numFmtId="0" fontId="8" fillId="0" borderId="0" xfId="56" applyFont="1" applyFill="1" applyBorder="1" applyAlignment="1">
      <alignment horizontal="justify"/>
      <protection/>
    </xf>
    <xf numFmtId="0" fontId="10" fillId="0" borderId="0" xfId="56" applyFont="1" applyFill="1" applyBorder="1" applyAlignment="1">
      <alignment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3" fontId="2" fillId="0" borderId="10" xfId="56" applyNumberFormat="1" applyFont="1" applyFill="1" applyBorder="1" applyAlignment="1">
      <alignment horizontal="right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10" fillId="0" borderId="11" xfId="56" applyFont="1" applyFill="1" applyBorder="1" applyAlignment="1">
      <alignment wrapText="1"/>
      <protection/>
    </xf>
    <xf numFmtId="0" fontId="10" fillId="0" borderId="14" xfId="56" applyFont="1" applyFill="1" applyBorder="1" applyAlignment="1">
      <alignment wrapText="1"/>
      <protection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14" fontId="30" fillId="22" borderId="0" xfId="0" applyNumberFormat="1" applyFont="1" applyFill="1" applyAlignment="1" applyProtection="1">
      <alignment horizontal="center"/>
      <protection locked="0"/>
    </xf>
    <xf numFmtId="14" fontId="5" fillId="35" borderId="10" xfId="58" applyNumberFormat="1" applyFont="1" applyFill="1" applyBorder="1" applyAlignment="1">
      <alignment horizontal="center" vertical="center" wrapText="1"/>
      <protection/>
    </xf>
    <xf numFmtId="14" fontId="2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80" fillId="0" borderId="10" xfId="0" applyNumberFormat="1" applyFont="1" applyFill="1" applyBorder="1" applyAlignment="1">
      <alignment horizontal="right" vertical="center" wrapText="1"/>
    </xf>
    <xf numFmtId="3" fontId="81" fillId="0" borderId="1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wrapText="1"/>
    </xf>
    <xf numFmtId="3" fontId="1" fillId="38" borderId="10" xfId="0" applyNumberFormat="1" applyFont="1" applyFill="1" applyBorder="1" applyAlignment="1">
      <alignment/>
    </xf>
    <xf numFmtId="14" fontId="5" fillId="35" borderId="10" xfId="0" applyNumberFormat="1" applyFont="1" applyFill="1" applyBorder="1" applyAlignment="1">
      <alignment horizontal="center" vertical="center" wrapText="1"/>
    </xf>
    <xf numFmtId="3" fontId="5" fillId="0" borderId="10" xfId="57" applyNumberFormat="1" applyFont="1" applyBorder="1" applyAlignment="1">
      <alignment horizontal="right" wrapText="1"/>
      <protection/>
    </xf>
    <xf numFmtId="0" fontId="2" fillId="35" borderId="10" xfId="57" applyFont="1" applyFill="1" applyBorder="1" applyAlignment="1">
      <alignment horizontal="center" wrapText="1"/>
      <protection/>
    </xf>
    <xf numFmtId="3" fontId="3" fillId="0" borderId="10" xfId="57" applyNumberFormat="1" applyFont="1" applyBorder="1" applyAlignment="1">
      <alignment horizontal="right" wrapText="1"/>
      <protection/>
    </xf>
    <xf numFmtId="3" fontId="1" fillId="0" borderId="10" xfId="42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5" fillId="0" borderId="0" xfId="46" applyFont="1" applyBorder="1" applyAlignment="1" applyProtection="1" quotePrefix="1">
      <alignment vertical="top"/>
      <protection/>
    </xf>
    <xf numFmtId="0" fontId="1" fillId="0" borderId="0" xfId="0" applyFont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14" xfId="58" applyFont="1" applyFill="1" applyBorder="1" applyAlignment="1">
      <alignment horizontal="left"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3" fontId="5" fillId="0" borderId="11" xfId="58" applyNumberFormat="1" applyFont="1" applyFill="1" applyBorder="1" applyAlignment="1">
      <alignment horizontal="left" vertical="center"/>
      <protection/>
    </xf>
    <xf numFmtId="3" fontId="5" fillId="0" borderId="14" xfId="58" applyNumberFormat="1" applyFont="1" applyFill="1" applyBorder="1" applyAlignment="1">
      <alignment horizontal="left" vertical="center"/>
      <protection/>
    </xf>
    <xf numFmtId="3" fontId="5" fillId="0" borderId="15" xfId="58" applyNumberFormat="1" applyFont="1" applyFill="1" applyBorder="1" applyAlignment="1">
      <alignment horizontal="left" vertical="center"/>
      <protection/>
    </xf>
    <xf numFmtId="0" fontId="78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14" fontId="5" fillId="39" borderId="10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4" fillId="0" borderId="0" xfId="0" applyFont="1" applyFill="1" applyBorder="1" applyAlignment="1">
      <alignment horizontal="center" vertical="top" wrapText="1"/>
    </xf>
    <xf numFmtId="0" fontId="5" fillId="35" borderId="13" xfId="56" applyFont="1" applyFill="1" applyBorder="1" applyAlignment="1">
      <alignment horizontal="center" vertical="center" wrapText="1"/>
      <protection/>
    </xf>
    <xf numFmtId="0" fontId="5" fillId="35" borderId="12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left" wrapText="1"/>
      <protection/>
    </xf>
    <xf numFmtId="0" fontId="10" fillId="0" borderId="14" xfId="56" applyFont="1" applyFill="1" applyBorder="1" applyAlignment="1">
      <alignment horizontal="left" wrapText="1"/>
      <protection/>
    </xf>
    <xf numFmtId="0" fontId="2" fillId="35" borderId="10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38" xfId="0" applyNumberFormat="1" applyFont="1" applyFill="1" applyBorder="1" applyAlignment="1">
      <alignment horizontal="left" vertical="center" wrapText="1"/>
    </xf>
    <xf numFmtId="49" fontId="10" fillId="0" borderId="39" xfId="0" applyNumberFormat="1" applyFont="1" applyFill="1" applyBorder="1" applyAlignment="1">
      <alignment horizontal="left" vertical="center" wrapText="1"/>
    </xf>
    <xf numFmtId="49" fontId="10" fillId="0" borderId="4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top" wrapText="1"/>
    </xf>
    <xf numFmtId="14" fontId="5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justify"/>
    </xf>
    <xf numFmtId="0" fontId="2" fillId="35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57" applyFont="1" applyBorder="1" applyAlignment="1">
      <alignment horizontal="left" vertical="center" wrapText="1"/>
      <protection/>
    </xf>
    <xf numFmtId="0" fontId="1" fillId="0" borderId="15" xfId="57" applyFont="1" applyBorder="1" applyAlignment="1">
      <alignment horizontal="left" vertical="center" wrapText="1"/>
      <protection/>
    </xf>
    <xf numFmtId="0" fontId="2" fillId="35" borderId="11" xfId="57" applyFont="1" applyFill="1" applyBorder="1" applyAlignment="1">
      <alignment horizontal="center" wrapText="1"/>
      <protection/>
    </xf>
    <xf numFmtId="0" fontId="2" fillId="35" borderId="15" xfId="57" applyFont="1" applyFill="1" applyBorder="1" applyAlignment="1">
      <alignment horizontal="center" wrapText="1"/>
      <protection/>
    </xf>
    <xf numFmtId="0" fontId="5" fillId="0" borderId="11" xfId="57" applyFont="1" applyBorder="1" applyAlignment="1">
      <alignment horizontal="left" vertical="center" wrapText="1"/>
      <protection/>
    </xf>
    <xf numFmtId="0" fontId="5" fillId="0" borderId="15" xfId="57" applyFont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35" borderId="11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justify" wrapText="1"/>
    </xf>
    <xf numFmtId="0" fontId="0" fillId="0" borderId="39" xfId="0" applyBorder="1" applyAlignment="1">
      <alignment horizontal="justify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_Nota Nr 1" xfId="55"/>
    <cellStyle name="Normalny 2" xfId="56"/>
    <cellStyle name="Normalny 3" xfId="57"/>
    <cellStyle name="Normalny_bilans_przekształceń" xfId="58"/>
    <cellStyle name="Normalny_Pakiet informacyjny 2.2" xfId="59"/>
    <cellStyle name="Normalny_Pakiet informacyjny 2.2 2" xfId="60"/>
    <cellStyle name="Obliczenia" xfId="61"/>
    <cellStyle name="Followed Hyperlink" xfId="62"/>
    <cellStyle name="Percent" xfId="63"/>
    <cellStyle name="Procentowy 2" xfId="64"/>
    <cellStyle name="Procentowy 2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.pkfconsult.pl/Documents%20and%20Settings/Rafal/Ustawienia%20lokalne/Temporary%20Internet%20Files/OLK19/ZAT%20Pakiet%20konsolidacyjny%2006%202006%202007%2011%2008%20N18B%20do%20uzupeni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.pkfconsult.pl/Documents%20and%20Settings/rbarycki/Ustawienia%20lokalne/Temporary%20Internet%20Files/Content.Outlook/NZDZ161T/Noty%20do%20konsolidacji/ZAT%20Pakiet%20konsolidacyjny%2006%202006%202007%2011%2008%20N18B%20do%20uzupeni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.pkfconsult.pl/Documents%20and%20Settings\rbarycki\Ustawienia%20lokalne\Temporary%20Internet%20Files\Content.Outlook\NZDZ161T\HL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B"/>
      <sheetName val="N11A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96">
          <cell r="BB96" t="str">
            <v>PLN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58">
          <cell r="BB58" t="str">
            <v>od 01.01 do 30.06.2006</v>
          </cell>
        </row>
        <row r="59">
          <cell r="BB59" t="str">
            <v>od 01.01 do 30.06.2005</v>
          </cell>
        </row>
        <row r="60">
          <cell r="BB60" t="str">
            <v>od 01.01 do 31.12.2005</v>
          </cell>
        </row>
        <row r="67">
          <cell r="BB67" t="str">
            <v> w okresie od 01.01 do 30.06.2006 roku</v>
          </cell>
        </row>
        <row r="74">
          <cell r="BB74" t="str">
            <v> w okresie od 01.01 do 31.12.2005 roku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62">
          <cell r="BB62" t="str">
            <v> na dzień 01.01.2006 roku</v>
          </cell>
        </row>
        <row r="68">
          <cell r="BB68" t="str">
            <v> na dzień 01.01.2005 roku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view="pageBreakPreview" zoomScale="90" zoomScaleNormal="75" zoomScaleSheetLayoutView="90" zoomScalePageLayoutView="0" workbookViewId="0" topLeftCell="A1">
      <selection activeCell="B8" sqref="B8:B9"/>
    </sheetView>
  </sheetViews>
  <sheetFormatPr defaultColWidth="9.28125" defaultRowHeight="12.75"/>
  <cols>
    <col min="1" max="1" width="51.28125" style="17" customWidth="1"/>
    <col min="2" max="2" width="38.421875" style="18" customWidth="1"/>
    <col min="3" max="3" width="33.28125" style="18" customWidth="1"/>
    <col min="4" max="4" width="9.28125" style="16" customWidth="1"/>
    <col min="5" max="5" width="0" style="16" hidden="1" customWidth="1"/>
    <col min="6" max="16384" width="9.28125" style="16" customWidth="1"/>
  </cols>
  <sheetData>
    <row r="1" spans="1:3" s="19" customFormat="1" ht="27" thickBot="1">
      <c r="A1" s="395"/>
      <c r="B1" s="499" t="s">
        <v>220</v>
      </c>
      <c r="C1" s="500" t="s">
        <v>221</v>
      </c>
    </row>
    <row r="2" spans="1:3" ht="27.75" customHeight="1">
      <c r="A2" s="396" t="s">
        <v>222</v>
      </c>
      <c r="B2" s="494" t="s">
        <v>613</v>
      </c>
      <c r="C2" s="497" t="s">
        <v>223</v>
      </c>
    </row>
    <row r="3" spans="1:3" ht="15">
      <c r="A3" s="397"/>
      <c r="B3" s="398"/>
      <c r="C3" s="399"/>
    </row>
    <row r="4" spans="1:3" ht="29.25" customHeight="1">
      <c r="A4" s="396" t="s">
        <v>224</v>
      </c>
      <c r="B4" s="494" t="s">
        <v>614</v>
      </c>
      <c r="C4" s="497" t="s">
        <v>498</v>
      </c>
    </row>
    <row r="5" spans="1:3" ht="15">
      <c r="A5" s="400"/>
      <c r="B5" s="401"/>
      <c r="C5" s="399"/>
    </row>
    <row r="6" spans="1:3" ht="15.75" customHeight="1">
      <c r="A6" s="396" t="s">
        <v>78</v>
      </c>
      <c r="B6" s="402"/>
      <c r="C6" s="399"/>
    </row>
    <row r="7" spans="1:3" ht="13.5" customHeight="1">
      <c r="A7" s="400" t="s">
        <v>116</v>
      </c>
      <c r="B7" s="591" t="s">
        <v>739</v>
      </c>
      <c r="C7" s="497" t="s">
        <v>79</v>
      </c>
    </row>
    <row r="8" spans="1:3" ht="13.5" customHeight="1">
      <c r="A8" s="400" t="s">
        <v>225</v>
      </c>
      <c r="B8" s="591">
        <v>43101</v>
      </c>
      <c r="C8" s="497" t="s">
        <v>79</v>
      </c>
    </row>
    <row r="9" spans="1:3" ht="15">
      <c r="A9" s="400" t="s">
        <v>226</v>
      </c>
      <c r="B9" s="591">
        <v>43465</v>
      </c>
      <c r="C9" s="497" t="s">
        <v>80</v>
      </c>
    </row>
    <row r="10" spans="1:3" ht="15">
      <c r="A10" s="400"/>
      <c r="B10" s="403"/>
      <c r="C10" s="399"/>
    </row>
    <row r="11" spans="1:3" ht="15">
      <c r="A11" s="408" t="s">
        <v>81</v>
      </c>
      <c r="B11" s="403"/>
      <c r="C11" s="399"/>
    </row>
    <row r="12" spans="1:3" ht="15">
      <c r="A12" s="400" t="s">
        <v>116</v>
      </c>
      <c r="B12" s="495" t="s">
        <v>694</v>
      </c>
      <c r="C12" s="497" t="s">
        <v>82</v>
      </c>
    </row>
    <row r="13" spans="1:3" ht="15">
      <c r="A13" s="400" t="s">
        <v>225</v>
      </c>
      <c r="B13" s="591">
        <v>42736</v>
      </c>
      <c r="C13" s="497" t="s">
        <v>83</v>
      </c>
    </row>
    <row r="14" spans="1:3" ht="15">
      <c r="A14" s="400" t="s">
        <v>226</v>
      </c>
      <c r="B14" s="591">
        <v>43100</v>
      </c>
      <c r="C14" s="497" t="s">
        <v>84</v>
      </c>
    </row>
    <row r="15" spans="1:3" ht="15">
      <c r="A15" s="400"/>
      <c r="B15" s="403"/>
      <c r="C15" s="399"/>
    </row>
    <row r="16" spans="1:5" ht="15">
      <c r="A16" s="400" t="s">
        <v>232</v>
      </c>
      <c r="B16" s="496" t="s">
        <v>696</v>
      </c>
      <c r="C16" s="498" t="s">
        <v>259</v>
      </c>
      <c r="E16" s="16">
        <f>IF(C16="nie",0,IF(C16="tak",1,2))</f>
        <v>2</v>
      </c>
    </row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showGridLines="0" view="pageBreakPreview" zoomScale="90" zoomScaleSheetLayoutView="90" workbookViewId="0" topLeftCell="A1">
      <selection activeCell="C14" sqref="C14"/>
    </sheetView>
  </sheetViews>
  <sheetFormatPr defaultColWidth="9.28125" defaultRowHeight="12.75"/>
  <cols>
    <col min="1" max="1" width="50.7109375" style="52" customWidth="1"/>
    <col min="2" max="3" width="13.7109375" style="52" customWidth="1"/>
    <col min="4" max="16384" width="9.28125" style="52" customWidth="1"/>
  </cols>
  <sheetData>
    <row r="1" ht="12.75">
      <c r="A1" s="74"/>
    </row>
    <row r="2" spans="1:4" s="481" customFormat="1" ht="12.75">
      <c r="A2" s="270" t="s">
        <v>577</v>
      </c>
      <c r="B2" s="478"/>
      <c r="C2" s="478"/>
      <c r="D2" s="478"/>
    </row>
    <row r="3" spans="1:4" ht="12.75">
      <c r="A3" s="53"/>
      <c r="B3" s="2"/>
      <c r="C3" s="2"/>
      <c r="D3" s="2"/>
    </row>
    <row r="4" spans="1:4" ht="20.25">
      <c r="A4" s="150" t="s">
        <v>615</v>
      </c>
      <c r="B4" s="150" t="str">
        <f>'Dane podstawowe'!$B$7</f>
        <v>01.01.2018 - 31.12.2018</v>
      </c>
      <c r="C4" s="150" t="str">
        <f>'Dane podstawowe'!$B$12</f>
        <v>01.01.2017 - 31.12.2017</v>
      </c>
      <c r="D4" s="47"/>
    </row>
    <row r="5" spans="1:4" ht="12.75">
      <c r="A5" s="75" t="s">
        <v>393</v>
      </c>
      <c r="B5" s="393">
        <f>RZiS!E8</f>
        <v>754139</v>
      </c>
      <c r="C5" s="393">
        <f>RZiS!F8</f>
        <v>455206</v>
      </c>
      <c r="D5" s="62"/>
    </row>
    <row r="6" spans="1:4" ht="12.75">
      <c r="A6" s="75" t="s">
        <v>394</v>
      </c>
      <c r="B6" s="393">
        <f>RZiS!E9</f>
        <v>202726</v>
      </c>
      <c r="C6" s="393">
        <f>RZiS!F9</f>
        <v>202164</v>
      </c>
      <c r="D6" s="62"/>
    </row>
    <row r="7" spans="1:4" ht="12.75">
      <c r="A7" s="75" t="s">
        <v>395</v>
      </c>
      <c r="B7" s="393">
        <f>RZiS!E10</f>
        <v>4687819</v>
      </c>
      <c r="C7" s="393">
        <f>RZiS!F10</f>
        <v>4678738</v>
      </c>
      <c r="D7" s="62"/>
    </row>
    <row r="8" spans="1:4" ht="12.75">
      <c r="A8" s="75" t="s">
        <v>396</v>
      </c>
      <c r="B8" s="393">
        <f>RZiS!E11</f>
        <v>122902</v>
      </c>
      <c r="C8" s="393">
        <f>RZiS!F11</f>
        <v>94565</v>
      </c>
      <c r="D8" s="62"/>
    </row>
    <row r="9" spans="1:4" ht="12.75">
      <c r="A9" s="75" t="s">
        <v>313</v>
      </c>
      <c r="B9" s="393">
        <f>RZiS!E12</f>
        <v>4854313</v>
      </c>
      <c r="C9" s="393">
        <f>RZiS!F12</f>
        <v>4953606</v>
      </c>
      <c r="D9" s="62"/>
    </row>
    <row r="10" spans="1:4" ht="12.75">
      <c r="A10" s="75" t="s">
        <v>314</v>
      </c>
      <c r="B10" s="393">
        <f>RZiS!E13</f>
        <v>912878</v>
      </c>
      <c r="C10" s="393">
        <f>RZiS!F13</f>
        <v>687475</v>
      </c>
      <c r="D10" s="62"/>
    </row>
    <row r="11" spans="1:4" ht="12.75">
      <c r="A11" s="75" t="s">
        <v>397</v>
      </c>
      <c r="B11" s="393">
        <f>RZiS!E14</f>
        <v>245116</v>
      </c>
      <c r="C11" s="393">
        <f>RZiS!F14</f>
        <v>347655</v>
      </c>
      <c r="D11" s="62"/>
    </row>
    <row r="12" spans="1:4" ht="12.75" hidden="1">
      <c r="A12" s="75" t="s">
        <v>315</v>
      </c>
      <c r="B12" s="200"/>
      <c r="C12" s="200"/>
      <c r="D12" s="62"/>
    </row>
    <row r="13" spans="1:4" ht="12.75">
      <c r="A13" s="76" t="s">
        <v>736</v>
      </c>
      <c r="B13" s="114">
        <f>SUM(B5:B12)</f>
        <v>11779893</v>
      </c>
      <c r="C13" s="114">
        <f>SUM(C5:C12)</f>
        <v>11419409</v>
      </c>
      <c r="D13" s="62"/>
    </row>
    <row r="14" spans="1:4" ht="12.75">
      <c r="A14" s="78"/>
      <c r="B14" s="376">
        <f>RZiS!E7-'NOTA 3 - Koszty rodzajowe'!B13</f>
        <v>0</v>
      </c>
      <c r="C14" s="376">
        <f>RZiS!F7-'NOTA 3 - Koszty rodzajowe'!C13</f>
        <v>0</v>
      </c>
      <c r="D14" s="2"/>
    </row>
    <row r="15" spans="1:4" ht="12.75">
      <c r="A15" s="2"/>
      <c r="B15" s="2"/>
      <c r="C15" s="2"/>
      <c r="D15" s="2"/>
    </row>
    <row r="16" spans="1:4" ht="12.75">
      <c r="A16" s="53" t="s">
        <v>500</v>
      </c>
      <c r="B16" s="2"/>
      <c r="C16" s="2"/>
      <c r="D16" s="2"/>
    </row>
    <row r="17" spans="1:4" ht="12.75">
      <c r="A17" s="53"/>
      <c r="B17" s="2"/>
      <c r="C17" s="2"/>
      <c r="D17" s="2"/>
    </row>
    <row r="18" spans="1:4" ht="20.25">
      <c r="A18" s="150" t="s">
        <v>737</v>
      </c>
      <c r="B18" s="150" t="str">
        <f>'Dane podstawowe'!$B$7</f>
        <v>01.01.2018 - 31.12.2018</v>
      </c>
      <c r="C18" s="150" t="str">
        <f>'Dane podstawowe'!$B$12</f>
        <v>01.01.2017 - 31.12.2017</v>
      </c>
      <c r="D18" s="47"/>
    </row>
    <row r="19" spans="1:4" ht="12.75">
      <c r="A19" s="80" t="s">
        <v>399</v>
      </c>
      <c r="B19" s="202">
        <v>196155</v>
      </c>
      <c r="C19" s="202">
        <v>161739</v>
      </c>
      <c r="D19" s="62"/>
    </row>
    <row r="20" spans="1:4" ht="12.75">
      <c r="A20" s="80" t="s">
        <v>400</v>
      </c>
      <c r="B20" s="202">
        <v>557984</v>
      </c>
      <c r="C20" s="202">
        <v>293467</v>
      </c>
      <c r="D20" s="62"/>
    </row>
    <row r="21" spans="1:4" ht="12.75">
      <c r="A21" s="89" t="s">
        <v>389</v>
      </c>
      <c r="B21" s="111">
        <f>SUM(B19:B20)</f>
        <v>754139</v>
      </c>
      <c r="C21" s="111">
        <f>SUM(C19:C20)</f>
        <v>455206</v>
      </c>
      <c r="D21" s="2"/>
    </row>
    <row r="22" spans="1:4" ht="12.75">
      <c r="A22" s="78"/>
      <c r="B22" s="78"/>
      <c r="C22" s="78"/>
      <c r="D22" s="2"/>
    </row>
    <row r="23" spans="1:4" ht="12.75">
      <c r="A23" s="78"/>
      <c r="B23" s="78"/>
      <c r="C23" s="78"/>
      <c r="D23" s="2"/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view="pageBreakPreview" zoomScale="90" zoomScaleSheetLayoutView="90" zoomScalePageLayoutView="0" workbookViewId="0" topLeftCell="A1">
      <selection activeCell="A35" sqref="A35:IV45"/>
    </sheetView>
  </sheetViews>
  <sheetFormatPr defaultColWidth="9.28125" defaultRowHeight="12.75"/>
  <cols>
    <col min="1" max="1" width="45.57421875" style="52" customWidth="1"/>
    <col min="2" max="3" width="17.00390625" style="52" customWidth="1"/>
    <col min="4" max="16384" width="9.28125" style="52" customWidth="1"/>
  </cols>
  <sheetData>
    <row r="1" s="83" customFormat="1" ht="18" customHeight="1">
      <c r="A1" s="57"/>
    </row>
    <row r="2" s="469" customFormat="1" ht="12.75">
      <c r="A2" s="270" t="s">
        <v>578</v>
      </c>
    </row>
    <row r="3" s="2" customFormat="1" ht="9.75">
      <c r="A3" s="53"/>
    </row>
    <row r="4" spans="1:3" s="47" customFormat="1" ht="9.75">
      <c r="A4" s="186" t="s">
        <v>321</v>
      </c>
      <c r="B4" s="150" t="str">
        <f>'Dane podstawowe'!$B$7</f>
        <v>01.01.2018 - 31.12.2018</v>
      </c>
      <c r="C4" s="150" t="str">
        <f>'Dane podstawowe'!$B$12</f>
        <v>01.01.2017 - 31.12.2017</v>
      </c>
    </row>
    <row r="5" spans="1:3" s="2" customFormat="1" ht="9.75" hidden="1">
      <c r="A5" s="65" t="s">
        <v>439</v>
      </c>
      <c r="B5" s="197">
        <v>0</v>
      </c>
      <c r="C5" s="197">
        <v>0</v>
      </c>
    </row>
    <row r="6" spans="1:3" s="2" customFormat="1" ht="9.75" hidden="1">
      <c r="A6" s="69" t="s">
        <v>440</v>
      </c>
      <c r="B6" s="197"/>
      <c r="C6" s="197"/>
    </row>
    <row r="7" spans="1:3" s="2" customFormat="1" ht="9.75" hidden="1">
      <c r="A7" s="65" t="s">
        <v>316</v>
      </c>
      <c r="B7" s="197"/>
      <c r="C7" s="197"/>
    </row>
    <row r="8" spans="1:3" s="2" customFormat="1" ht="9.75">
      <c r="A8" s="65" t="s">
        <v>327</v>
      </c>
      <c r="B8" s="197">
        <v>21543</v>
      </c>
      <c r="C8" s="197">
        <v>8790</v>
      </c>
    </row>
    <row r="9" spans="1:3" s="2" customFormat="1" ht="9" customHeight="1">
      <c r="A9" s="88" t="s">
        <v>699</v>
      </c>
      <c r="B9" s="197">
        <v>2660</v>
      </c>
      <c r="C9" s="197">
        <v>6788</v>
      </c>
    </row>
    <row r="10" spans="1:3" s="2" customFormat="1" ht="9.75" hidden="1">
      <c r="A10" s="65" t="s">
        <v>317</v>
      </c>
      <c r="B10" s="197"/>
      <c r="C10" s="197"/>
    </row>
    <row r="11" spans="1:3" s="2" customFormat="1" ht="9.75">
      <c r="A11" s="65" t="s">
        <v>318</v>
      </c>
      <c r="B11" s="197">
        <v>4023</v>
      </c>
      <c r="C11" s="197">
        <v>1847</v>
      </c>
    </row>
    <row r="12" spans="1:3" s="2" customFormat="1" ht="9.75" hidden="1">
      <c r="A12" s="65" t="s">
        <v>382</v>
      </c>
      <c r="B12" s="197"/>
      <c r="C12" s="197"/>
    </row>
    <row r="13" spans="1:3" s="2" customFormat="1" ht="9.75" hidden="1">
      <c r="A13" s="67" t="s">
        <v>151</v>
      </c>
      <c r="B13" s="197"/>
      <c r="C13" s="197"/>
    </row>
    <row r="14" spans="1:3" s="2" customFormat="1" ht="9.75" hidden="1">
      <c r="A14" s="67" t="s">
        <v>151</v>
      </c>
      <c r="B14" s="197"/>
      <c r="C14" s="197"/>
    </row>
    <row r="15" spans="1:3" s="2" customFormat="1" ht="9.75">
      <c r="A15" s="65" t="s">
        <v>807</v>
      </c>
      <c r="B15" s="197">
        <v>1207</v>
      </c>
      <c r="C15" s="197">
        <v>0</v>
      </c>
    </row>
    <row r="16" spans="1:3" s="2" customFormat="1" ht="9.75">
      <c r="A16" s="65" t="s">
        <v>67</v>
      </c>
      <c r="B16" s="197">
        <v>3109</v>
      </c>
      <c r="C16" s="197">
        <v>5126</v>
      </c>
    </row>
    <row r="17" spans="1:3" s="71" customFormat="1" ht="9.75">
      <c r="A17" s="87" t="s">
        <v>389</v>
      </c>
      <c r="B17" s="111">
        <f>SUM(B5:B16)</f>
        <v>32542</v>
      </c>
      <c r="C17" s="111">
        <f>SUM(C5:C16)</f>
        <v>22551</v>
      </c>
    </row>
    <row r="18" spans="1:3" s="2" customFormat="1" ht="9.75">
      <c r="A18" s="85"/>
      <c r="B18" s="377">
        <f>RZiS!E18-'NOTA 4 - PPO i PKO'!B17</f>
        <v>0</v>
      </c>
      <c r="C18" s="377">
        <f>RZiS!F18-'NOTA 4 - PPO i PKO'!C17</f>
        <v>0</v>
      </c>
    </row>
    <row r="19" spans="1:3" s="2" customFormat="1" ht="9.75">
      <c r="A19" s="86"/>
      <c r="B19" s="378"/>
      <c r="C19" s="378"/>
    </row>
    <row r="20" spans="1:3" s="2" customFormat="1" ht="9.75">
      <c r="A20" s="186" t="s">
        <v>322</v>
      </c>
      <c r="B20" s="150" t="str">
        <f>'Dane podstawowe'!$B$7</f>
        <v>01.01.2018 - 31.12.2018</v>
      </c>
      <c r="C20" s="150" t="str">
        <f>'Dane podstawowe'!$B$12</f>
        <v>01.01.2017 - 31.12.2017</v>
      </c>
    </row>
    <row r="21" spans="1:3" s="2" customFormat="1" ht="9.75" hidden="1">
      <c r="A21" s="65" t="s">
        <v>441</v>
      </c>
      <c r="B21" s="197"/>
      <c r="C21" s="197"/>
    </row>
    <row r="22" spans="1:3" s="2" customFormat="1" ht="9.75" hidden="1">
      <c r="A22" s="69" t="s">
        <v>442</v>
      </c>
      <c r="B22" s="197"/>
      <c r="C22" s="197"/>
    </row>
    <row r="23" spans="1:3" s="2" customFormat="1" ht="9.75">
      <c r="A23" s="69" t="s">
        <v>808</v>
      </c>
      <c r="B23" s="197">
        <v>167064</v>
      </c>
      <c r="C23" s="197">
        <v>0</v>
      </c>
    </row>
    <row r="24" spans="1:3" s="2" customFormat="1" ht="9.75">
      <c r="A24" s="65" t="s">
        <v>564</v>
      </c>
      <c r="B24" s="197">
        <v>124818</v>
      </c>
      <c r="C24" s="197">
        <v>142075</v>
      </c>
    </row>
    <row r="25" spans="1:3" s="2" customFormat="1" ht="9.75">
      <c r="A25" s="65" t="s">
        <v>319</v>
      </c>
      <c r="B25" s="197">
        <v>1821</v>
      </c>
      <c r="C25" s="197">
        <v>1000</v>
      </c>
    </row>
    <row r="26" spans="1:3" s="2" customFormat="1" ht="9.75" hidden="1">
      <c r="A26" s="65" t="s">
        <v>320</v>
      </c>
      <c r="B26" s="197"/>
      <c r="C26" s="197"/>
    </row>
    <row r="27" spans="1:3" s="2" customFormat="1" ht="20.25" hidden="1">
      <c r="A27" s="90" t="s">
        <v>390</v>
      </c>
      <c r="B27" s="197"/>
      <c r="C27" s="197"/>
    </row>
    <row r="28" spans="1:3" s="2" customFormat="1" ht="9.75" hidden="1">
      <c r="A28" s="69" t="s">
        <v>623</v>
      </c>
      <c r="B28" s="197"/>
      <c r="C28" s="197">
        <v>0</v>
      </c>
    </row>
    <row r="29" spans="1:3" s="2" customFormat="1" ht="9.75" hidden="1">
      <c r="A29" s="69" t="s">
        <v>624</v>
      </c>
      <c r="B29" s="197"/>
      <c r="C29" s="197">
        <v>0</v>
      </c>
    </row>
    <row r="30" spans="1:3" s="2" customFormat="1" ht="9.75">
      <c r="A30" s="69" t="s">
        <v>625</v>
      </c>
      <c r="B30" s="197">
        <v>6802</v>
      </c>
      <c r="C30" s="197">
        <v>4350</v>
      </c>
    </row>
    <row r="31" spans="1:3" s="2" customFormat="1" ht="9.75">
      <c r="A31" s="65" t="s">
        <v>67</v>
      </c>
      <c r="B31" s="197">
        <v>13300</v>
      </c>
      <c r="C31" s="197">
        <v>11274</v>
      </c>
    </row>
    <row r="32" spans="1:3" s="71" customFormat="1" ht="9.75">
      <c r="A32" s="89" t="s">
        <v>389</v>
      </c>
      <c r="B32" s="111">
        <f>SUM(B21:B31)</f>
        <v>313805</v>
      </c>
      <c r="C32" s="111">
        <f>SUM(C21:C31)</f>
        <v>158699</v>
      </c>
    </row>
    <row r="33" spans="1:3" s="71" customFormat="1" ht="9.75">
      <c r="A33" s="14"/>
      <c r="B33" s="377">
        <f>RZiS!E19-'NOTA 4 - PPO i PKO'!B32</f>
        <v>0</v>
      </c>
      <c r="C33" s="377">
        <f>RZiS!F19-'NOTA 4 - PPO i PKO'!C32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showGridLines="0" view="pageBreakPreview" zoomScale="90" zoomScaleSheetLayoutView="90" zoomScalePageLayoutView="0" workbookViewId="0" topLeftCell="A1">
      <selection activeCell="G31" sqref="G31"/>
    </sheetView>
  </sheetViews>
  <sheetFormatPr defaultColWidth="9.28125" defaultRowHeight="12.75"/>
  <cols>
    <col min="1" max="1" width="45.7109375" style="52" customWidth="1"/>
    <col min="2" max="9" width="14.28125" style="52" customWidth="1"/>
    <col min="10" max="16384" width="9.28125" style="52" customWidth="1"/>
  </cols>
  <sheetData>
    <row r="1" ht="19.5" customHeight="1">
      <c r="A1" s="74"/>
    </row>
    <row r="2" spans="1:3" s="270" customFormat="1" ht="12.75">
      <c r="A2" s="270" t="s">
        <v>579</v>
      </c>
      <c r="B2" s="468"/>
      <c r="C2" s="468"/>
    </row>
    <row r="3" spans="1:3" ht="12.75">
      <c r="A3" s="93"/>
      <c r="B3" s="2"/>
      <c r="C3" s="2"/>
    </row>
    <row r="4" spans="1:3" ht="20.25">
      <c r="A4" s="178" t="s">
        <v>380</v>
      </c>
      <c r="B4" s="150" t="str">
        <f>'Dane podstawowe'!$B$7</f>
        <v>01.01.2018 - 31.12.2018</v>
      </c>
      <c r="C4" s="150" t="str">
        <f>'Dane podstawowe'!$B$12</f>
        <v>01.01.2017 - 31.12.2017</v>
      </c>
    </row>
    <row r="5" spans="1:3" ht="12.75">
      <c r="A5" s="65" t="s">
        <v>247</v>
      </c>
      <c r="B5" s="548">
        <v>51961</v>
      </c>
      <c r="C5" s="548">
        <v>15714</v>
      </c>
    </row>
    <row r="6" spans="1:3" ht="12.75" hidden="1">
      <c r="A6" s="65" t="s">
        <v>323</v>
      </c>
      <c r="B6" s="203"/>
      <c r="C6" s="203"/>
    </row>
    <row r="7" spans="1:3" ht="23.25" customHeight="1" hidden="1">
      <c r="A7" s="65" t="s">
        <v>324</v>
      </c>
      <c r="B7" s="203"/>
      <c r="C7" s="203"/>
    </row>
    <row r="8" spans="1:3" ht="21" hidden="1">
      <c r="A8" s="65" t="s">
        <v>325</v>
      </c>
      <c r="B8" s="203"/>
      <c r="C8" s="203"/>
    </row>
    <row r="9" spans="1:3" ht="12.75">
      <c r="A9" s="65" t="s">
        <v>326</v>
      </c>
      <c r="B9" s="197">
        <v>3000000</v>
      </c>
      <c r="C9" s="197">
        <v>1439950</v>
      </c>
    </row>
    <row r="10" spans="1:3" ht="12.75" hidden="1">
      <c r="A10" s="65" t="s">
        <v>327</v>
      </c>
      <c r="B10" s="197"/>
      <c r="C10" s="197"/>
    </row>
    <row r="11" spans="1:3" ht="12.75" hidden="1">
      <c r="A11" s="65" t="s">
        <v>328</v>
      </c>
      <c r="B11" s="197"/>
      <c r="C11" s="197"/>
    </row>
    <row r="12" spans="1:3" ht="12.75" hidden="1">
      <c r="A12" s="65" t="s">
        <v>329</v>
      </c>
      <c r="B12" s="197"/>
      <c r="C12" s="197"/>
    </row>
    <row r="13" spans="1:3" ht="12.75">
      <c r="A13" s="69" t="s">
        <v>626</v>
      </c>
      <c r="B13" s="197">
        <v>0</v>
      </c>
      <c r="C13" s="197">
        <v>0</v>
      </c>
    </row>
    <row r="14" spans="1:3" ht="12.75" hidden="1">
      <c r="A14" s="69" t="s">
        <v>151</v>
      </c>
      <c r="B14" s="197"/>
      <c r="C14" s="197"/>
    </row>
    <row r="15" spans="1:3" ht="12.75" hidden="1">
      <c r="A15" s="69" t="s">
        <v>151</v>
      </c>
      <c r="B15" s="197"/>
      <c r="C15" s="197"/>
    </row>
    <row r="16" spans="1:3" ht="12.75">
      <c r="A16" s="75" t="s">
        <v>67</v>
      </c>
      <c r="B16" s="197">
        <v>3949</v>
      </c>
      <c r="C16" s="197">
        <v>6611</v>
      </c>
    </row>
    <row r="17" spans="1:3" ht="12.75">
      <c r="A17" s="76" t="s">
        <v>389</v>
      </c>
      <c r="B17" s="111">
        <f>SUM(B5:B16)</f>
        <v>3055910</v>
      </c>
      <c r="C17" s="111">
        <f>SUM(C5:C16)</f>
        <v>1462275</v>
      </c>
    </row>
    <row r="18" spans="1:3" ht="12.75">
      <c r="A18" s="78"/>
      <c r="B18" s="376">
        <f>RZiS!E22-'NOTA 5 - PF i KF'!B17</f>
        <v>0</v>
      </c>
      <c r="C18" s="376">
        <f>RZiS!F22-'NOTA 5 - PF i KF'!C17</f>
        <v>0</v>
      </c>
    </row>
    <row r="19" spans="1:3" ht="12.75">
      <c r="A19" s="71"/>
      <c r="B19" s="2"/>
      <c r="C19" s="2"/>
    </row>
    <row r="20" spans="1:3" ht="20.25">
      <c r="A20" s="95" t="s">
        <v>64</v>
      </c>
      <c r="B20" s="208" t="str">
        <f>'Dane podstawowe'!$B$7</f>
        <v>01.01.2018 - 31.12.2018</v>
      </c>
      <c r="C20" s="150" t="str">
        <f>'Dane podstawowe'!$B$12</f>
        <v>01.01.2017 - 31.12.2017</v>
      </c>
    </row>
    <row r="21" spans="1:3" ht="12.75">
      <c r="A21" s="65" t="s">
        <v>330</v>
      </c>
      <c r="B21" s="197">
        <v>40036</v>
      </c>
      <c r="C21" s="197">
        <v>2931</v>
      </c>
    </row>
    <row r="22" spans="1:3" ht="12.75" hidden="1">
      <c r="A22" s="65" t="s">
        <v>331</v>
      </c>
      <c r="B22" s="197"/>
      <c r="C22" s="197"/>
    </row>
    <row r="23" spans="1:3" ht="23.25" customHeight="1" hidden="1">
      <c r="A23" s="65" t="s">
        <v>332</v>
      </c>
      <c r="B23" s="197"/>
      <c r="C23" s="197"/>
    </row>
    <row r="24" spans="1:3" ht="21" hidden="1">
      <c r="A24" s="65" t="s">
        <v>333</v>
      </c>
      <c r="B24" s="197"/>
      <c r="C24" s="197"/>
    </row>
    <row r="25" spans="1:3" ht="12.75" hidden="1">
      <c r="A25" s="65" t="s">
        <v>329</v>
      </c>
      <c r="B25" s="197"/>
      <c r="C25" s="197"/>
    </row>
    <row r="26" spans="1:3" ht="12.75" hidden="1">
      <c r="A26" s="65" t="s">
        <v>334</v>
      </c>
      <c r="B26" s="197"/>
      <c r="C26" s="197"/>
    </row>
    <row r="27" spans="1:3" ht="12.75">
      <c r="A27" s="65" t="s">
        <v>706</v>
      </c>
      <c r="B27" s="197">
        <v>178883</v>
      </c>
      <c r="C27" s="197">
        <v>127187</v>
      </c>
    </row>
    <row r="28" spans="1:3" ht="12.75">
      <c r="A28" s="69" t="s">
        <v>680</v>
      </c>
      <c r="B28" s="197">
        <v>0</v>
      </c>
      <c r="C28" s="197">
        <v>0</v>
      </c>
    </row>
    <row r="29" spans="1:3" ht="12.75" hidden="1">
      <c r="A29" s="69" t="s">
        <v>151</v>
      </c>
      <c r="B29" s="197"/>
      <c r="C29" s="197"/>
    </row>
    <row r="30" spans="1:3" ht="12.75" hidden="1">
      <c r="A30" s="69" t="s">
        <v>627</v>
      </c>
      <c r="B30" s="197"/>
      <c r="C30" s="197">
        <v>0</v>
      </c>
    </row>
    <row r="31" spans="1:3" ht="12.75">
      <c r="A31" s="94" t="s">
        <v>67</v>
      </c>
      <c r="B31" s="197">
        <v>5144</v>
      </c>
      <c r="C31" s="197">
        <v>23820</v>
      </c>
    </row>
    <row r="32" spans="1:3" ht="12.75">
      <c r="A32" s="76" t="s">
        <v>389</v>
      </c>
      <c r="B32" s="198">
        <f>SUM(B21:B31)</f>
        <v>224063</v>
      </c>
      <c r="C32" s="198">
        <f>SUM(C21:C31)</f>
        <v>153938</v>
      </c>
    </row>
    <row r="33" spans="2:3" ht="12.75">
      <c r="B33" s="376">
        <f>RZiS!E23-'NOTA 5 - PF i KF'!B32</f>
        <v>0</v>
      </c>
      <c r="C33" s="376">
        <f>RZiS!F23-'NOTA 5 - PF i KF'!C32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3"/>
  <sheetViews>
    <sheetView showGridLines="0" view="pageBreakPreview" zoomScale="124" zoomScaleSheetLayoutView="124" zoomScalePageLayoutView="0" workbookViewId="0" topLeftCell="A59">
      <selection activeCell="A38" sqref="A38:E58"/>
    </sheetView>
  </sheetViews>
  <sheetFormatPr defaultColWidth="9.28125" defaultRowHeight="12.75"/>
  <cols>
    <col min="1" max="1" width="54.28125" style="52" customWidth="1"/>
    <col min="2" max="2" width="15.421875" style="52" customWidth="1"/>
    <col min="3" max="3" width="15.7109375" style="52" customWidth="1"/>
    <col min="4" max="4" width="11.7109375" style="52" customWidth="1"/>
    <col min="5" max="6" width="10.57421875" style="52" customWidth="1"/>
    <col min="7" max="16384" width="9.28125" style="52" customWidth="1"/>
  </cols>
  <sheetData>
    <row r="1" ht="19.5" customHeight="1">
      <c r="A1" s="74"/>
    </row>
    <row r="2" spans="1:6" s="58" customFormat="1" ht="12.75">
      <c r="A2" s="270" t="s">
        <v>580</v>
      </c>
      <c r="B2" s="469"/>
      <c r="C2" s="469"/>
      <c r="D2" s="469"/>
      <c r="E2" s="469"/>
      <c r="F2" s="469"/>
    </row>
    <row r="3" spans="1:6" ht="12.75">
      <c r="A3" s="53"/>
      <c r="B3" s="2"/>
      <c r="C3" s="2"/>
      <c r="D3" s="2"/>
      <c r="E3" s="2"/>
      <c r="F3" s="2"/>
    </row>
    <row r="4" spans="1:6" ht="20.25">
      <c r="A4" s="150" t="s">
        <v>499</v>
      </c>
      <c r="B4" s="150" t="str">
        <f>'Dane podstawowe'!$B$7</f>
        <v>01.01.2018 - 31.12.2018</v>
      </c>
      <c r="C4" s="150" t="str">
        <f>'Dane podstawowe'!$B$12</f>
        <v>01.01.2017 - 31.12.2017</v>
      </c>
      <c r="D4" s="62"/>
      <c r="E4" s="62"/>
      <c r="F4" s="62"/>
    </row>
    <row r="5" spans="1:6" ht="12.75">
      <c r="A5" s="76" t="s">
        <v>401</v>
      </c>
      <c r="B5" s="109">
        <f>SUM(B6:B7)</f>
        <v>0</v>
      </c>
      <c r="C5" s="109">
        <f>SUM(C6:C7)</f>
        <v>0</v>
      </c>
      <c r="D5" s="62"/>
      <c r="E5" s="62"/>
      <c r="F5" s="62"/>
    </row>
    <row r="6" spans="1:6" ht="12.75">
      <c r="A6" s="75" t="s">
        <v>443</v>
      </c>
      <c r="B6" s="266">
        <v>0</v>
      </c>
      <c r="C6" s="266">
        <v>0</v>
      </c>
      <c r="D6" s="62"/>
      <c r="E6" s="62"/>
      <c r="F6" s="62"/>
    </row>
    <row r="7" spans="1:6" ht="12.75">
      <c r="A7" s="75" t="s">
        <v>444</v>
      </c>
      <c r="B7" s="110">
        <v>0</v>
      </c>
      <c r="C7" s="110">
        <v>0</v>
      </c>
      <c r="D7" s="62"/>
      <c r="E7" s="62"/>
      <c r="F7" s="62"/>
    </row>
    <row r="8" spans="1:6" ht="12.75">
      <c r="A8" s="76" t="s">
        <v>402</v>
      </c>
      <c r="B8" s="109">
        <f>SUM(B9:B10)</f>
        <v>104020</v>
      </c>
      <c r="C8" s="109">
        <f>SUM(C9:C10)</f>
        <v>115530</v>
      </c>
      <c r="D8" s="62"/>
      <c r="E8" s="62"/>
      <c r="F8" s="62"/>
    </row>
    <row r="9" spans="1:6" ht="12.75">
      <c r="A9" s="75" t="s">
        <v>403</v>
      </c>
      <c r="B9" s="110">
        <v>104020</v>
      </c>
      <c r="C9" s="110">
        <v>115530</v>
      </c>
      <c r="D9" s="62"/>
      <c r="E9" s="62"/>
      <c r="F9" s="62"/>
    </row>
    <row r="10" spans="1:6" ht="12.75">
      <c r="A10" s="75" t="s">
        <v>361</v>
      </c>
      <c r="B10" s="110">
        <v>0</v>
      </c>
      <c r="C10" s="110">
        <v>0</v>
      </c>
      <c r="D10" s="62"/>
      <c r="E10" s="62"/>
      <c r="F10" s="62"/>
    </row>
    <row r="11" spans="1:6" ht="12.75">
      <c r="A11" s="76" t="s">
        <v>212</v>
      </c>
      <c r="B11" s="111">
        <f>SUM(B5,B8)</f>
        <v>104020</v>
      </c>
      <c r="C11" s="111">
        <f>SUM(C5,C8)</f>
        <v>115530</v>
      </c>
      <c r="D11" s="62"/>
      <c r="E11" s="62"/>
      <c r="F11" s="62"/>
    </row>
    <row r="12" spans="1:6" s="97" customFormat="1" ht="12.75">
      <c r="A12" s="14"/>
      <c r="B12" s="376">
        <f>RZiS!E26-'NOTA 6 - Podatek '!B11</f>
        <v>0</v>
      </c>
      <c r="C12" s="376">
        <f>RZiS!F26-'NOTA 6 - Podatek '!C11</f>
        <v>0</v>
      </c>
      <c r="D12" s="2"/>
      <c r="E12" s="2"/>
      <c r="F12" s="2"/>
    </row>
    <row r="13" spans="1:6" s="97" customFormat="1" ht="12.75">
      <c r="A13" s="14"/>
      <c r="B13" s="92"/>
      <c r="C13" s="92"/>
      <c r="D13" s="2"/>
      <c r="E13" s="2"/>
      <c r="F13" s="2"/>
    </row>
    <row r="14" spans="1:6" ht="20.25" hidden="1">
      <c r="A14" s="150" t="s">
        <v>425</v>
      </c>
      <c r="B14" s="150" t="str">
        <f>'Dane podstawowe'!$B$7</f>
        <v>01.01.2018 - 31.12.2018</v>
      </c>
      <c r="C14" s="150" t="str">
        <f>'Dane podstawowe'!$B$12</f>
        <v>01.01.2017 - 31.12.2017</v>
      </c>
      <c r="D14" s="2"/>
      <c r="E14" s="2"/>
      <c r="F14" s="2"/>
    </row>
    <row r="15" spans="1:6" ht="12.75" hidden="1">
      <c r="A15" s="76" t="s">
        <v>401</v>
      </c>
      <c r="B15" s="258">
        <f>SUM(B16:B16)</f>
        <v>0</v>
      </c>
      <c r="C15" s="258">
        <f>SUM(C16:C16)</f>
        <v>0</v>
      </c>
      <c r="D15" s="62"/>
      <c r="E15" s="62"/>
      <c r="F15" s="62"/>
    </row>
    <row r="16" spans="1:6" ht="12.75" hidden="1">
      <c r="A16" s="75" t="s">
        <v>404</v>
      </c>
      <c r="B16" s="112"/>
      <c r="C16" s="112"/>
      <c r="D16" s="62"/>
      <c r="E16" s="62"/>
      <c r="F16" s="62"/>
    </row>
    <row r="17" spans="1:6" ht="12.75" hidden="1">
      <c r="A17" s="76" t="s">
        <v>402</v>
      </c>
      <c r="B17" s="201">
        <f>SUM(B18:B21)</f>
        <v>0</v>
      </c>
      <c r="C17" s="201">
        <f>SUM(C18:C21)</f>
        <v>0</v>
      </c>
      <c r="D17" s="62"/>
      <c r="E17" s="62"/>
      <c r="F17" s="62"/>
    </row>
    <row r="18" spans="1:6" ht="20.25" hidden="1">
      <c r="A18" s="84" t="s">
        <v>405</v>
      </c>
      <c r="B18" s="115"/>
      <c r="C18" s="115"/>
      <c r="D18" s="62"/>
      <c r="E18" s="62"/>
      <c r="F18" s="62"/>
    </row>
    <row r="19" spans="1:6" ht="20.25" hidden="1">
      <c r="A19" s="84" t="s">
        <v>406</v>
      </c>
      <c r="B19" s="115"/>
      <c r="C19" s="115"/>
      <c r="D19" s="256"/>
      <c r="E19" s="256"/>
      <c r="F19" s="256"/>
    </row>
    <row r="20" spans="1:6" ht="20.25" hidden="1">
      <c r="A20" s="84" t="s">
        <v>407</v>
      </c>
      <c r="B20" s="115"/>
      <c r="C20" s="115"/>
      <c r="D20" s="256"/>
      <c r="E20" s="256"/>
      <c r="F20" s="256"/>
    </row>
    <row r="21" spans="1:6" ht="21" hidden="1">
      <c r="A21" s="130" t="s">
        <v>372</v>
      </c>
      <c r="B21" s="115"/>
      <c r="C21" s="115"/>
      <c r="D21" s="256"/>
      <c r="E21" s="256"/>
      <c r="F21" s="256"/>
    </row>
    <row r="22" spans="1:6" ht="20.25" hidden="1">
      <c r="A22" s="79" t="s">
        <v>445</v>
      </c>
      <c r="B22" s="108">
        <f>SUM(B15,B17)</f>
        <v>0</v>
      </c>
      <c r="C22" s="108">
        <f>SUM(C15,C17)</f>
        <v>0</v>
      </c>
      <c r="D22" s="256"/>
      <c r="E22" s="256"/>
      <c r="F22" s="256"/>
    </row>
    <row r="23" spans="1:6" ht="12.75">
      <c r="A23" s="98"/>
      <c r="B23" s="99"/>
      <c r="C23" s="99"/>
      <c r="D23" s="12"/>
      <c r="E23" s="12"/>
      <c r="F23" s="12"/>
    </row>
    <row r="24" spans="1:6" ht="12.75">
      <c r="A24" s="98"/>
      <c r="B24" s="99"/>
      <c r="C24" s="99"/>
      <c r="D24" s="12"/>
      <c r="E24" s="12"/>
      <c r="F24" s="12"/>
    </row>
    <row r="25" spans="1:6" ht="20.25">
      <c r="A25" s="95" t="s">
        <v>401</v>
      </c>
      <c r="B25" s="150" t="str">
        <f>'Dane podstawowe'!$B$7</f>
        <v>01.01.2018 - 31.12.2018</v>
      </c>
      <c r="C25" s="150" t="str">
        <f>'Dane podstawowe'!$B$12</f>
        <v>01.01.2017 - 31.12.2017</v>
      </c>
      <c r="D25" s="12"/>
      <c r="E25" s="12"/>
      <c r="F25" s="12"/>
    </row>
    <row r="26" spans="1:6" s="100" customFormat="1" ht="12.75">
      <c r="A26" s="70" t="s">
        <v>335</v>
      </c>
      <c r="B26" s="64">
        <f>RZiS!E25</f>
        <v>1171391</v>
      </c>
      <c r="C26" s="64">
        <f>RZiS!F25</f>
        <v>288589</v>
      </c>
      <c r="D26" s="12"/>
      <c r="E26" s="12"/>
      <c r="F26" s="12"/>
    </row>
    <row r="27" spans="1:6" ht="12.75">
      <c r="A27" s="69" t="s">
        <v>809</v>
      </c>
      <c r="B27" s="117">
        <v>62265</v>
      </c>
      <c r="C27" s="117">
        <v>0</v>
      </c>
      <c r="D27" s="12"/>
      <c r="E27" s="12"/>
      <c r="F27" s="12"/>
    </row>
    <row r="28" spans="1:6" ht="12.75">
      <c r="A28" s="69" t="s">
        <v>336</v>
      </c>
      <c r="B28" s="117">
        <f>2995011+62265</f>
        <v>3057276</v>
      </c>
      <c r="C28" s="117">
        <v>1465395</v>
      </c>
      <c r="D28" s="12"/>
      <c r="E28" s="12"/>
      <c r="F28" s="12"/>
    </row>
    <row r="29" spans="1:6" ht="12.75">
      <c r="A29" s="69" t="s">
        <v>668</v>
      </c>
      <c r="B29" s="117">
        <f>1139781+385837</f>
        <v>1525618</v>
      </c>
      <c r="C29" s="117">
        <v>1579460</v>
      </c>
      <c r="D29" s="12"/>
      <c r="E29" s="12"/>
      <c r="F29" s="12"/>
    </row>
    <row r="30" spans="1:6" ht="12.75">
      <c r="A30" s="69" t="s">
        <v>337</v>
      </c>
      <c r="B30" s="117">
        <f>275660+978883</f>
        <v>1254543</v>
      </c>
      <c r="C30" s="117">
        <v>1137325</v>
      </c>
      <c r="D30" s="12"/>
      <c r="E30" s="12"/>
      <c r="F30" s="12"/>
    </row>
    <row r="31" spans="1:6" ht="12.75">
      <c r="A31" s="59" t="s">
        <v>338</v>
      </c>
      <c r="B31" s="64">
        <f>B26-B28-B29+B30+B27</f>
        <v>-2094695</v>
      </c>
      <c r="C31" s="64">
        <f>C26-C28-C29+C30+C27</f>
        <v>-1618941</v>
      </c>
      <c r="D31" s="12"/>
      <c r="E31" s="12"/>
      <c r="F31" s="12"/>
    </row>
    <row r="32" spans="1:6" ht="12.75">
      <c r="A32" s="69" t="s">
        <v>339</v>
      </c>
      <c r="B32" s="117">
        <v>0</v>
      </c>
      <c r="C32" s="117">
        <v>0</v>
      </c>
      <c r="D32" s="12"/>
      <c r="E32" s="12"/>
      <c r="F32" s="12"/>
    </row>
    <row r="33" spans="1:6" ht="12.75">
      <c r="A33" s="59" t="s">
        <v>340</v>
      </c>
      <c r="B33" s="64">
        <f>B31-B32</f>
        <v>-2094695</v>
      </c>
      <c r="C33" s="64">
        <f>C31-C32</f>
        <v>-1618941</v>
      </c>
      <c r="D33" s="12"/>
      <c r="E33" s="12"/>
      <c r="F33" s="12"/>
    </row>
    <row r="34" spans="1:6" ht="12.75">
      <c r="A34" s="69" t="s">
        <v>341</v>
      </c>
      <c r="B34" s="117">
        <v>0</v>
      </c>
      <c r="C34" s="117">
        <v>0</v>
      </c>
      <c r="D34" s="12"/>
      <c r="E34" s="12"/>
      <c r="F34" s="12"/>
    </row>
    <row r="35" spans="1:6" ht="36.75" customHeight="1">
      <c r="A35" s="131" t="s">
        <v>603</v>
      </c>
      <c r="B35" s="549">
        <v>0</v>
      </c>
      <c r="C35" s="549">
        <v>0</v>
      </c>
      <c r="D35" s="12"/>
      <c r="E35" s="12"/>
      <c r="F35" s="12"/>
    </row>
    <row r="36" spans="1:6" ht="12.75">
      <c r="A36" s="101"/>
      <c r="B36" s="102"/>
      <c r="C36" s="102"/>
      <c r="D36" s="12"/>
      <c r="E36" s="12"/>
      <c r="F36" s="12"/>
    </row>
    <row r="37" spans="1:6" ht="12.75">
      <c r="A37" s="101"/>
      <c r="B37" s="102"/>
      <c r="C37" s="102"/>
      <c r="D37" s="12"/>
      <c r="E37" s="12"/>
      <c r="F37" s="12"/>
    </row>
    <row r="38" spans="1:6" ht="20.25">
      <c r="A38" s="95" t="s">
        <v>453</v>
      </c>
      <c r="B38" s="593">
        <v>43100</v>
      </c>
      <c r="C38" s="445" t="s">
        <v>446</v>
      </c>
      <c r="D38" s="445" t="s">
        <v>447</v>
      </c>
      <c r="E38" s="593">
        <f>'Dane podstawowe'!$B$9</f>
        <v>43465</v>
      </c>
      <c r="F38" s="12"/>
    </row>
    <row r="39" spans="1:6" s="100" customFormat="1" ht="12.75">
      <c r="A39" s="103" t="s">
        <v>362</v>
      </c>
      <c r="B39" s="106">
        <v>0</v>
      </c>
      <c r="C39" s="106">
        <v>0</v>
      </c>
      <c r="D39" s="106">
        <v>0</v>
      </c>
      <c r="E39" s="106">
        <v>0</v>
      </c>
      <c r="F39" s="12"/>
    </row>
    <row r="40" spans="1:6" ht="12.75">
      <c r="A40" s="103" t="s">
        <v>363</v>
      </c>
      <c r="B40" s="106">
        <v>0</v>
      </c>
      <c r="C40" s="106">
        <v>0</v>
      </c>
      <c r="D40" s="106">
        <v>0</v>
      </c>
      <c r="E40" s="106">
        <v>0</v>
      </c>
      <c r="F40" s="12"/>
    </row>
    <row r="41" spans="1:6" ht="12.75">
      <c r="A41" s="65" t="s">
        <v>364</v>
      </c>
      <c r="B41" s="106">
        <v>186400</v>
      </c>
      <c r="C41" s="106">
        <v>49873</v>
      </c>
      <c r="D41" s="106">
        <v>186400</v>
      </c>
      <c r="E41" s="106">
        <f>B41+C41-D41</f>
        <v>49873</v>
      </c>
      <c r="F41" s="12"/>
    </row>
    <row r="42" spans="1:6" ht="12.75" hidden="1">
      <c r="A42" s="65" t="s">
        <v>365</v>
      </c>
      <c r="B42" s="106"/>
      <c r="C42" s="106"/>
      <c r="D42" s="106"/>
      <c r="E42" s="106">
        <f aca="true" t="shared" si="0" ref="E42:E49">B42+C42-D42</f>
        <v>0</v>
      </c>
      <c r="F42" s="12"/>
    </row>
    <row r="43" spans="1:6" ht="12.75" hidden="1">
      <c r="A43" s="65" t="s">
        <v>366</v>
      </c>
      <c r="B43" s="106"/>
      <c r="C43" s="106"/>
      <c r="D43" s="106"/>
      <c r="E43" s="106">
        <f t="shared" si="0"/>
        <v>0</v>
      </c>
      <c r="F43" s="12"/>
    </row>
    <row r="44" spans="1:6" ht="12.75">
      <c r="A44" s="65" t="s">
        <v>367</v>
      </c>
      <c r="B44" s="106">
        <v>29000</v>
      </c>
      <c r="C44" s="106">
        <v>50000</v>
      </c>
      <c r="D44" s="106">
        <v>45000</v>
      </c>
      <c r="E44" s="106">
        <f t="shared" si="0"/>
        <v>34000</v>
      </c>
      <c r="F44" s="12"/>
    </row>
    <row r="45" spans="1:6" ht="12.75" hidden="1">
      <c r="A45" s="103" t="s">
        <v>67</v>
      </c>
      <c r="B45" s="106">
        <v>0</v>
      </c>
      <c r="C45" s="106">
        <v>0</v>
      </c>
      <c r="D45" s="106">
        <v>0</v>
      </c>
      <c r="E45" s="106">
        <f t="shared" si="0"/>
        <v>0</v>
      </c>
      <c r="F45" s="12"/>
    </row>
    <row r="46" spans="1:6" ht="21" hidden="1">
      <c r="A46" s="103" t="s">
        <v>383</v>
      </c>
      <c r="B46" s="106"/>
      <c r="C46" s="106"/>
      <c r="D46" s="106"/>
      <c r="E46" s="106">
        <f t="shared" si="0"/>
        <v>0</v>
      </c>
      <c r="F46" s="12"/>
    </row>
    <row r="47" spans="1:6" ht="12.75">
      <c r="A47" s="103" t="s">
        <v>392</v>
      </c>
      <c r="B47" s="106">
        <v>12386</v>
      </c>
      <c r="C47" s="106">
        <v>21208</v>
      </c>
      <c r="D47" s="106">
        <v>30711</v>
      </c>
      <c r="E47" s="106">
        <f t="shared" si="0"/>
        <v>2883</v>
      </c>
      <c r="F47" s="12"/>
    </row>
    <row r="48" spans="1:6" ht="12.75" hidden="1">
      <c r="A48" s="103" t="s">
        <v>413</v>
      </c>
      <c r="B48" s="106"/>
      <c r="C48" s="106"/>
      <c r="D48" s="106"/>
      <c r="E48" s="106">
        <f t="shared" si="0"/>
        <v>0</v>
      </c>
      <c r="F48" s="12"/>
    </row>
    <row r="49" spans="1:6" ht="12.75">
      <c r="A49" s="103" t="s">
        <v>373</v>
      </c>
      <c r="B49" s="106">
        <v>200196</v>
      </c>
      <c r="C49" s="106">
        <v>174547</v>
      </c>
      <c r="D49" s="106">
        <v>200196</v>
      </c>
      <c r="E49" s="106">
        <f t="shared" si="0"/>
        <v>174547</v>
      </c>
      <c r="F49" s="12"/>
    </row>
    <row r="50" spans="1:6" ht="12.75">
      <c r="A50" s="65" t="s">
        <v>818</v>
      </c>
      <c r="B50" s="106">
        <v>0</v>
      </c>
      <c r="C50" s="106">
        <v>202746</v>
      </c>
      <c r="D50" s="106">
        <v>0</v>
      </c>
      <c r="E50" s="106">
        <f>B50+C50-D50</f>
        <v>202746</v>
      </c>
      <c r="F50" s="12"/>
    </row>
    <row r="51" spans="1:6" ht="12.75" hidden="1">
      <c r="A51" s="65" t="s">
        <v>368</v>
      </c>
      <c r="B51" s="106"/>
      <c r="C51" s="106"/>
      <c r="D51" s="106"/>
      <c r="E51" s="104"/>
      <c r="F51" s="12"/>
    </row>
    <row r="52" spans="1:6" ht="12.75">
      <c r="A52" s="65" t="s">
        <v>564</v>
      </c>
      <c r="B52" s="106">
        <v>308196</v>
      </c>
      <c r="C52" s="106">
        <v>120485</v>
      </c>
      <c r="D52" s="106">
        <v>77357</v>
      </c>
      <c r="E52" s="106">
        <f>B52+C52-D52</f>
        <v>351324</v>
      </c>
      <c r="F52" s="12"/>
    </row>
    <row r="53" spans="1:6" ht="12.75">
      <c r="A53" s="69" t="s">
        <v>561</v>
      </c>
      <c r="B53" s="106">
        <v>0</v>
      </c>
      <c r="C53" s="106">
        <v>62265</v>
      </c>
      <c r="D53" s="106">
        <v>0</v>
      </c>
      <c r="E53" s="106">
        <f>B53+C53-D53</f>
        <v>62265</v>
      </c>
      <c r="F53" s="12"/>
    </row>
    <row r="54" spans="1:6" ht="12.75">
      <c r="A54" s="69" t="s">
        <v>707</v>
      </c>
      <c r="B54" s="106">
        <v>127187</v>
      </c>
      <c r="C54" s="106">
        <v>0</v>
      </c>
      <c r="D54" s="106">
        <v>22112</v>
      </c>
      <c r="E54" s="106">
        <f>B54+C54-D54</f>
        <v>105075</v>
      </c>
      <c r="F54" s="12"/>
    </row>
    <row r="55" spans="1:6" ht="12.75" hidden="1">
      <c r="A55" s="68"/>
      <c r="B55" s="104"/>
      <c r="C55" s="104"/>
      <c r="D55" s="104"/>
      <c r="E55" s="104"/>
      <c r="F55" s="12"/>
    </row>
    <row r="56" spans="1:6" ht="12.75">
      <c r="A56" s="91" t="s">
        <v>448</v>
      </c>
      <c r="B56" s="104">
        <f>SUM(B39:B55)</f>
        <v>863365</v>
      </c>
      <c r="C56" s="104">
        <f>SUM(C39:C55)</f>
        <v>681124</v>
      </c>
      <c r="D56" s="104">
        <f>SUM(D39:D55)</f>
        <v>561776</v>
      </c>
      <c r="E56" s="104">
        <f>SUM(E39:E55)</f>
        <v>982713</v>
      </c>
      <c r="F56" s="12"/>
    </row>
    <row r="57" spans="1:6" ht="12.75">
      <c r="A57" s="65" t="s">
        <v>449</v>
      </c>
      <c r="B57" s="446">
        <v>0.19</v>
      </c>
      <c r="C57" s="446">
        <v>0.19</v>
      </c>
      <c r="D57" s="446">
        <v>0.19</v>
      </c>
      <c r="E57" s="446">
        <v>0.19</v>
      </c>
      <c r="F57" s="12"/>
    </row>
    <row r="58" spans="1:6" ht="12.75">
      <c r="A58" s="91" t="s">
        <v>450</v>
      </c>
      <c r="B58" s="104">
        <f>ROUND(B56*B57,0)</f>
        <v>164039</v>
      </c>
      <c r="C58" s="104">
        <f>ROUND(C56*C57,0)</f>
        <v>129414</v>
      </c>
      <c r="D58" s="104">
        <f>ROUND(D56*D57,0)</f>
        <v>106737</v>
      </c>
      <c r="E58" s="104">
        <f>ROUND(E56*E57,0)</f>
        <v>186715</v>
      </c>
      <c r="F58" s="12"/>
    </row>
    <row r="59" spans="1:6" ht="12.75">
      <c r="A59" s="101"/>
      <c r="B59" s="380">
        <f>Aktywa!E11-B58</f>
        <v>0</v>
      </c>
      <c r="C59" s="447"/>
      <c r="D59" s="447"/>
      <c r="E59" s="380">
        <f>Aktywa!D11-E58</f>
        <v>0</v>
      </c>
      <c r="F59" s="12"/>
    </row>
    <row r="60" spans="1:6" ht="12.75">
      <c r="A60" s="101"/>
      <c r="B60" s="268"/>
      <c r="C60" s="268"/>
      <c r="D60" s="12"/>
      <c r="E60" s="12"/>
      <c r="F60" s="12"/>
    </row>
    <row r="61" spans="1:6" ht="20.25">
      <c r="A61" s="95" t="s">
        <v>565</v>
      </c>
      <c r="B61" s="593">
        <v>43100</v>
      </c>
      <c r="C61" s="445" t="s">
        <v>446</v>
      </c>
      <c r="D61" s="445" t="s">
        <v>447</v>
      </c>
      <c r="E61" s="593">
        <f>'Dane podstawowe'!$B$9</f>
        <v>43465</v>
      </c>
      <c r="F61" s="12"/>
    </row>
    <row r="62" spans="1:6" ht="12.75">
      <c r="A62" s="103" t="s">
        <v>408</v>
      </c>
      <c r="B62" s="550">
        <v>1609400</v>
      </c>
      <c r="C62" s="550">
        <v>827500</v>
      </c>
      <c r="D62" s="550">
        <v>15439</v>
      </c>
      <c r="E62" s="550">
        <f>B62+C62-D62</f>
        <v>2421461</v>
      </c>
      <c r="F62" s="12"/>
    </row>
    <row r="63" spans="1:6" ht="12.75" hidden="1">
      <c r="A63" s="103" t="s">
        <v>409</v>
      </c>
      <c r="B63" s="107"/>
      <c r="C63" s="106"/>
      <c r="D63" s="106"/>
      <c r="E63" s="106"/>
      <c r="F63" s="12"/>
    </row>
    <row r="64" spans="1:6" ht="21" hidden="1">
      <c r="A64" s="103" t="s">
        <v>410</v>
      </c>
      <c r="B64" s="106"/>
      <c r="C64" s="106"/>
      <c r="D64" s="106"/>
      <c r="E64" s="106"/>
      <c r="F64" s="12"/>
    </row>
    <row r="65" spans="1:6" ht="21" hidden="1">
      <c r="A65" s="103" t="s">
        <v>411</v>
      </c>
      <c r="B65" s="106"/>
      <c r="C65" s="106"/>
      <c r="D65" s="106"/>
      <c r="E65" s="106"/>
      <c r="F65" s="12"/>
    </row>
    <row r="66" spans="1:6" ht="12.75">
      <c r="A66" s="103" t="s">
        <v>391</v>
      </c>
      <c r="B66" s="550">
        <v>33499</v>
      </c>
      <c r="C66" s="550">
        <v>35198</v>
      </c>
      <c r="D66" s="550">
        <v>3825</v>
      </c>
      <c r="E66" s="550">
        <f>B66+C66-D66</f>
        <v>64872</v>
      </c>
      <c r="F66" s="12"/>
    </row>
    <row r="67" spans="1:6" ht="12.75">
      <c r="A67" s="103" t="s">
        <v>628</v>
      </c>
      <c r="B67" s="550">
        <v>632655</v>
      </c>
      <c r="C67" s="550">
        <v>922239</v>
      </c>
      <c r="D67" s="550">
        <v>1112097</v>
      </c>
      <c r="E67" s="550">
        <f>B67+C67-D67</f>
        <v>442797</v>
      </c>
      <c r="F67" s="12"/>
    </row>
    <row r="68" spans="1:6" ht="12.75" hidden="1">
      <c r="A68" s="68" t="s">
        <v>151</v>
      </c>
      <c r="B68" s="106"/>
      <c r="C68" s="106"/>
      <c r="D68" s="106"/>
      <c r="E68" s="106"/>
      <c r="F68" s="12"/>
    </row>
    <row r="69" spans="1:6" ht="12.75">
      <c r="A69" s="103" t="s">
        <v>412</v>
      </c>
      <c r="B69" s="106">
        <v>0</v>
      </c>
      <c r="C69" s="106">
        <v>0</v>
      </c>
      <c r="D69" s="106">
        <v>0</v>
      </c>
      <c r="E69" s="106">
        <v>0</v>
      </c>
      <c r="F69" s="12"/>
    </row>
    <row r="70" spans="1:6" ht="12.75">
      <c r="A70" s="91" t="s">
        <v>451</v>
      </c>
      <c r="B70" s="104">
        <f>SUM(B62:B69)</f>
        <v>2275554</v>
      </c>
      <c r="C70" s="104">
        <f>SUM(C62:C69)</f>
        <v>1784937</v>
      </c>
      <c r="D70" s="104">
        <f>SUM(D62:D69)</f>
        <v>1131361</v>
      </c>
      <c r="E70" s="104">
        <f>B70+C70-D70</f>
        <v>2929130</v>
      </c>
      <c r="F70" s="12"/>
    </row>
    <row r="71" spans="1:6" ht="12.75">
      <c r="A71" s="65" t="s">
        <v>449</v>
      </c>
      <c r="B71" s="446">
        <v>0.19</v>
      </c>
      <c r="C71" s="446">
        <v>0.19</v>
      </c>
      <c r="D71" s="446">
        <v>0.19</v>
      </c>
      <c r="E71" s="446">
        <v>0.19</v>
      </c>
      <c r="F71" s="12"/>
    </row>
    <row r="72" spans="1:6" ht="12.75">
      <c r="A72" s="91" t="s">
        <v>452</v>
      </c>
      <c r="B72" s="108">
        <f>ROUND(B70*B71,0)</f>
        <v>432355</v>
      </c>
      <c r="C72" s="108">
        <f>ROUND(C70*C71,0)</f>
        <v>339138</v>
      </c>
      <c r="D72" s="108">
        <f>ROUND(D70*D71,0)</f>
        <v>214959</v>
      </c>
      <c r="E72" s="108">
        <f>ROUND(E70*E71,0)</f>
        <v>556535</v>
      </c>
      <c r="F72" s="12"/>
    </row>
    <row r="73" spans="1:6" ht="12.75">
      <c r="A73" s="98"/>
      <c r="B73" s="380">
        <f>Pasywa!E14-'NOTA 6 - Podatek '!B72</f>
        <v>0</v>
      </c>
      <c r="C73" s="447"/>
      <c r="D73" s="447"/>
      <c r="E73" s="380">
        <f>Pasywa!D14-'NOTA 6 - Podatek '!E72</f>
        <v>0</v>
      </c>
      <c r="F73" s="12"/>
    </row>
    <row r="74" spans="1:6" ht="12.75">
      <c r="A74" s="101" t="s">
        <v>345</v>
      </c>
      <c r="B74" s="447"/>
      <c r="C74" s="447"/>
      <c r="D74" s="447"/>
      <c r="E74" s="447"/>
      <c r="F74" s="12"/>
    </row>
    <row r="75" spans="1:6" ht="12.75">
      <c r="A75" s="85"/>
      <c r="B75" s="96"/>
      <c r="C75" s="96"/>
      <c r="D75" s="2"/>
      <c r="E75" s="2"/>
      <c r="F75" s="12"/>
    </row>
    <row r="76" spans="1:6" ht="12.75">
      <c r="A76" s="133" t="s">
        <v>381</v>
      </c>
      <c r="B76" s="593">
        <v>43100</v>
      </c>
      <c r="C76" s="593">
        <f>'Dane podstawowe'!$B$9</f>
        <v>43465</v>
      </c>
      <c r="D76" s="2"/>
      <c r="E76" s="2"/>
      <c r="F76" s="2"/>
    </row>
    <row r="77" spans="1:6" ht="12.75">
      <c r="A77" s="260" t="s">
        <v>342</v>
      </c>
      <c r="B77" s="117">
        <v>164039</v>
      </c>
      <c r="C77" s="117">
        <v>186715</v>
      </c>
      <c r="D77" s="62"/>
      <c r="E77" s="62"/>
      <c r="F77" s="2"/>
    </row>
    <row r="78" spans="1:6" ht="12.75">
      <c r="A78" s="260" t="s">
        <v>343</v>
      </c>
      <c r="B78" s="117">
        <v>432355</v>
      </c>
      <c r="C78" s="117">
        <v>556535</v>
      </c>
      <c r="D78" s="62"/>
      <c r="E78" s="62"/>
      <c r="F78" s="62"/>
    </row>
    <row r="79" spans="1:6" ht="12.75">
      <c r="A79" s="260" t="s">
        <v>344</v>
      </c>
      <c r="B79" s="117">
        <v>0</v>
      </c>
      <c r="C79" s="117">
        <v>0</v>
      </c>
      <c r="D79" s="62"/>
      <c r="E79" s="62"/>
      <c r="F79" s="62"/>
    </row>
    <row r="80" spans="1:6" ht="12.75">
      <c r="A80" s="70" t="s">
        <v>345</v>
      </c>
      <c r="B80" s="64">
        <f>B77-B78-B79</f>
        <v>-268316</v>
      </c>
      <c r="C80" s="64">
        <f>C77-C78-C79</f>
        <v>-369820</v>
      </c>
      <c r="D80" s="62"/>
      <c r="E80" s="62"/>
      <c r="F80" s="62"/>
    </row>
    <row r="81" spans="1:6" ht="12.75">
      <c r="A81" s="56"/>
      <c r="B81" s="2"/>
      <c r="C81" s="2"/>
      <c r="D81" s="2"/>
      <c r="E81" s="2"/>
      <c r="F81" s="62"/>
    </row>
    <row r="82" spans="1:6" ht="12.75">
      <c r="A82" s="56"/>
      <c r="B82" s="2"/>
      <c r="C82" s="2"/>
      <c r="D82" s="2"/>
      <c r="E82" s="2"/>
      <c r="F82" s="2"/>
    </row>
    <row r="83" spans="1:6" ht="12.75">
      <c r="A83" s="56"/>
      <c r="B83" s="2"/>
      <c r="C83" s="2"/>
      <c r="D83" s="2"/>
      <c r="E83" s="2"/>
      <c r="F83" s="2"/>
    </row>
    <row r="84" spans="1:6" ht="12.75">
      <c r="A84" s="56"/>
      <c r="B84" s="2"/>
      <c r="C84" s="2"/>
      <c r="D84" s="2"/>
      <c r="E84" s="2"/>
      <c r="F84" s="2"/>
    </row>
    <row r="85" spans="1:6" ht="12.75">
      <c r="A85" s="56"/>
      <c r="B85" s="2"/>
      <c r="C85" s="2"/>
      <c r="D85" s="2"/>
      <c r="E85" s="2"/>
      <c r="F85" s="2"/>
    </row>
    <row r="86" spans="1:6" ht="12.75">
      <c r="A86" s="56"/>
      <c r="B86" s="2"/>
      <c r="C86" s="2"/>
      <c r="D86" s="2"/>
      <c r="E86" s="2"/>
      <c r="F86" s="2"/>
    </row>
    <row r="87" spans="1:6" ht="12.75">
      <c r="A87" s="56"/>
      <c r="B87" s="2"/>
      <c r="C87" s="2"/>
      <c r="D87" s="2"/>
      <c r="E87" s="2"/>
      <c r="F87" s="2"/>
    </row>
    <row r="88" spans="1:6" ht="12.75">
      <c r="A88" s="56"/>
      <c r="B88" s="2"/>
      <c r="C88" s="2"/>
      <c r="D88" s="2"/>
      <c r="E88" s="2"/>
      <c r="F88" s="2"/>
    </row>
    <row r="89" spans="1:6" ht="12.75">
      <c r="A89" s="56"/>
      <c r="B89" s="2"/>
      <c r="C89" s="2"/>
      <c r="D89" s="2"/>
      <c r="E89" s="2"/>
      <c r="F89" s="2"/>
    </row>
    <row r="90" spans="1:6" ht="12.75">
      <c r="A90" s="56"/>
      <c r="B90" s="2"/>
      <c r="C90" s="2"/>
      <c r="D90" s="2"/>
      <c r="E90" s="2"/>
      <c r="F90" s="2"/>
    </row>
    <row r="91" spans="1:6" ht="12.75">
      <c r="A91" s="56"/>
      <c r="B91" s="2"/>
      <c r="C91" s="2"/>
      <c r="D91" s="2"/>
      <c r="E91" s="2"/>
      <c r="F91" s="2"/>
    </row>
    <row r="92" spans="1:6" ht="12.75">
      <c r="A92" s="56"/>
      <c r="B92" s="2"/>
      <c r="C92" s="2"/>
      <c r="D92" s="2"/>
      <c r="E92" s="2"/>
      <c r="F92" s="2"/>
    </row>
    <row r="93" ht="12.75">
      <c r="F93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0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view="pageBreakPreview" zoomScale="90" zoomScaleSheetLayoutView="90" zoomScalePageLayoutView="0" workbookViewId="0" topLeftCell="A1">
      <selection activeCell="L28" sqref="L28"/>
    </sheetView>
  </sheetViews>
  <sheetFormatPr defaultColWidth="9.28125" defaultRowHeight="12.75"/>
  <cols>
    <col min="1" max="1" width="55.7109375" style="52" customWidth="1"/>
    <col min="2" max="4" width="17.57421875" style="52" customWidth="1"/>
    <col min="5" max="7" width="10.7109375" style="52" customWidth="1"/>
    <col min="8" max="16384" width="9.28125" style="52" customWidth="1"/>
  </cols>
  <sheetData>
    <row r="1" ht="21" customHeight="1">
      <c r="A1" s="74"/>
    </row>
    <row r="2" spans="1:7" s="469" customFormat="1" ht="12.75">
      <c r="A2" s="480" t="s">
        <v>646</v>
      </c>
      <c r="B2" s="479"/>
      <c r="C2" s="479"/>
      <c r="D2" s="479"/>
      <c r="E2" s="479"/>
      <c r="F2" s="479"/>
      <c r="G2" s="479"/>
    </row>
    <row r="3" spans="1:10" s="62" customFormat="1" ht="9.7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7" s="432" customFormat="1" ht="9.75">
      <c r="A4" s="159" t="s">
        <v>85</v>
      </c>
      <c r="B4" s="150" t="str">
        <f>'Dane podstawowe'!$B$7</f>
        <v>01.01.2018 - 31.12.2018</v>
      </c>
      <c r="C4" s="150" t="str">
        <f>'Dane podstawowe'!$B$12</f>
        <v>01.01.2017 - 31.12.2017</v>
      </c>
      <c r="D4" s="125"/>
      <c r="E4" s="125"/>
      <c r="F4" s="125"/>
      <c r="G4" s="49"/>
    </row>
    <row r="5" spans="1:6" s="62" customFormat="1" ht="9.75">
      <c r="A5" s="75" t="s">
        <v>86</v>
      </c>
      <c r="B5" s="262">
        <f>RZiS!E29</f>
        <v>1067371</v>
      </c>
      <c r="C5" s="262">
        <f>RZiS!F29</f>
        <v>173059</v>
      </c>
      <c r="D5" s="125"/>
      <c r="E5" s="125"/>
      <c r="F5" s="125"/>
    </row>
    <row r="6" spans="1:6" s="62" customFormat="1" ht="9.75">
      <c r="A6" s="75" t="s">
        <v>87</v>
      </c>
      <c r="B6" s="262">
        <v>0</v>
      </c>
      <c r="C6" s="262">
        <v>0</v>
      </c>
      <c r="D6" s="125"/>
      <c r="E6" s="125"/>
      <c r="F6" s="125"/>
    </row>
    <row r="7" spans="1:6" s="62" customFormat="1" ht="20.25">
      <c r="A7" s="76" t="s">
        <v>88</v>
      </c>
      <c r="B7" s="433">
        <f>B5-B6</f>
        <v>1067371</v>
      </c>
      <c r="C7" s="433">
        <f>C5-C6</f>
        <v>173059</v>
      </c>
      <c r="D7" s="125"/>
      <c r="E7" s="125"/>
      <c r="F7" s="125"/>
    </row>
    <row r="8" spans="1:6" s="62" customFormat="1" ht="9.75">
      <c r="A8" s="434" t="s">
        <v>89</v>
      </c>
      <c r="B8" s="262">
        <f>SUM(B9:B11)</f>
        <v>0</v>
      </c>
      <c r="C8" s="262">
        <f>SUM(C9:C11)</f>
        <v>0</v>
      </c>
      <c r="D8" s="125"/>
      <c r="E8" s="125"/>
      <c r="F8" s="616"/>
    </row>
    <row r="9" spans="1:6" s="62" customFormat="1" ht="9.75">
      <c r="A9" s="126" t="s">
        <v>90</v>
      </c>
      <c r="B9" s="262">
        <v>0</v>
      </c>
      <c r="C9" s="262">
        <v>0</v>
      </c>
      <c r="D9" s="125"/>
      <c r="E9" s="125"/>
      <c r="F9" s="125"/>
    </row>
    <row r="10" spans="1:6" s="62" customFormat="1" ht="9.75">
      <c r="A10" s="126" t="s">
        <v>91</v>
      </c>
      <c r="B10" s="262">
        <v>0</v>
      </c>
      <c r="C10" s="262">
        <v>0</v>
      </c>
      <c r="D10" s="125"/>
      <c r="E10" s="125"/>
      <c r="F10" s="125"/>
    </row>
    <row r="11" spans="1:6" s="62" customFormat="1" ht="9.75">
      <c r="A11" s="126" t="s">
        <v>92</v>
      </c>
      <c r="B11" s="262">
        <v>0</v>
      </c>
      <c r="C11" s="262">
        <v>0</v>
      </c>
      <c r="D11" s="125"/>
      <c r="E11" s="125"/>
      <c r="F11" s="125"/>
    </row>
    <row r="12" spans="1:6" s="256" customFormat="1" ht="23.25" customHeight="1">
      <c r="A12" s="435" t="s">
        <v>93</v>
      </c>
      <c r="B12" s="436">
        <f>B7+B8</f>
        <v>1067371</v>
      </c>
      <c r="C12" s="436">
        <f>C7+C8</f>
        <v>173059</v>
      </c>
      <c r="D12" s="125"/>
      <c r="E12" s="125"/>
      <c r="F12" s="125"/>
    </row>
    <row r="13" spans="1:6" s="62" customFormat="1" ht="9.75">
      <c r="A13" s="437"/>
      <c r="B13" s="438"/>
      <c r="C13" s="438"/>
      <c r="D13" s="125"/>
      <c r="E13" s="125"/>
      <c r="F13" s="125"/>
    </row>
    <row r="14" spans="1:6" s="62" customFormat="1" ht="9.75">
      <c r="A14" s="118"/>
      <c r="D14" s="125"/>
      <c r="E14" s="125"/>
      <c r="F14" s="125"/>
    </row>
    <row r="15" spans="1:6" s="62" customFormat="1" ht="9.75">
      <c r="A15" s="147" t="s">
        <v>94</v>
      </c>
      <c r="B15" s="150" t="str">
        <f>'Dane podstawowe'!$B$7</f>
        <v>01.01.2018 - 31.12.2018</v>
      </c>
      <c r="C15" s="150" t="str">
        <f>'Dane podstawowe'!$B$12</f>
        <v>01.01.2017 - 31.12.2017</v>
      </c>
      <c r="D15" s="125"/>
      <c r="E15" s="125"/>
      <c r="F15" s="125"/>
    </row>
    <row r="16" spans="1:6" s="62" customFormat="1" ht="20.25">
      <c r="A16" s="70" t="s">
        <v>95</v>
      </c>
      <c r="B16" s="64">
        <v>2291551</v>
      </c>
      <c r="C16" s="64">
        <v>2291551</v>
      </c>
      <c r="D16" s="125"/>
      <c r="E16" s="125"/>
      <c r="F16" s="125"/>
    </row>
    <row r="17" spans="1:6" s="62" customFormat="1" ht="9.75">
      <c r="A17" s="69" t="s">
        <v>96</v>
      </c>
      <c r="B17" s="262">
        <f>SUM(B18:B20)</f>
        <v>0</v>
      </c>
      <c r="C17" s="262">
        <f>SUM(C18:C20)</f>
        <v>0</v>
      </c>
      <c r="D17" s="125"/>
      <c r="E17" s="125"/>
      <c r="F17" s="125"/>
    </row>
    <row r="18" spans="1:6" s="62" customFormat="1" ht="9.75">
      <c r="A18" s="69" t="s">
        <v>97</v>
      </c>
      <c r="B18" s="117">
        <v>0</v>
      </c>
      <c r="C18" s="117">
        <v>0</v>
      </c>
      <c r="D18" s="125"/>
      <c r="E18" s="125"/>
      <c r="F18" s="125"/>
    </row>
    <row r="19" spans="1:6" s="62" customFormat="1" ht="9.75">
      <c r="A19" s="69" t="s">
        <v>98</v>
      </c>
      <c r="B19" s="117">
        <v>0</v>
      </c>
      <c r="C19" s="117">
        <v>0</v>
      </c>
      <c r="D19" s="125"/>
      <c r="E19" s="125"/>
      <c r="F19" s="125"/>
    </row>
    <row r="20" spans="1:6" s="62" customFormat="1" ht="9.75">
      <c r="A20" s="69" t="s">
        <v>99</v>
      </c>
      <c r="B20" s="117">
        <v>0</v>
      </c>
      <c r="C20" s="117">
        <v>0</v>
      </c>
      <c r="D20" s="125"/>
      <c r="E20" s="125"/>
      <c r="F20" s="125"/>
    </row>
    <row r="21" spans="1:6" s="62" customFormat="1" ht="20.25">
      <c r="A21" s="70" t="s">
        <v>100</v>
      </c>
      <c r="B21" s="436">
        <f>B16+B17</f>
        <v>2291551</v>
      </c>
      <c r="C21" s="436">
        <f>C16+C17</f>
        <v>2291551</v>
      </c>
      <c r="D21" s="125"/>
      <c r="E21" s="125"/>
      <c r="F21" s="125"/>
    </row>
    <row r="22" spans="1:3" s="62" customFormat="1" ht="9.75">
      <c r="A22" s="127"/>
      <c r="B22" s="128"/>
      <c r="C22" s="128"/>
    </row>
    <row r="23" spans="2:4" s="62" customFormat="1" ht="11.25" customHeight="1">
      <c r="B23" s="630"/>
      <c r="C23" s="630"/>
      <c r="D23" s="630"/>
    </row>
    <row r="24" spans="2:4" s="62" customFormat="1" ht="11.25" customHeight="1">
      <c r="B24" s="49"/>
      <c r="C24" s="49"/>
      <c r="D24" s="49"/>
    </row>
    <row r="27" ht="12.75">
      <c r="B27" s="209"/>
    </row>
  </sheetData>
  <sheetProtection/>
  <mergeCells count="1">
    <mergeCell ref="B23:D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7"/>
  <sheetViews>
    <sheetView showGridLines="0" view="pageBreakPreview" zoomScaleSheetLayoutView="100" zoomScalePageLayoutView="0" workbookViewId="0" topLeftCell="A94">
      <selection activeCell="J47" sqref="J47"/>
    </sheetView>
  </sheetViews>
  <sheetFormatPr defaultColWidth="9.28125" defaultRowHeight="12.75" outlineLevelRow="1"/>
  <cols>
    <col min="1" max="1" width="43.57421875" style="254" customWidth="1"/>
    <col min="2" max="7" width="15.7109375" style="254" customWidth="1"/>
    <col min="8" max="8" width="13.7109375" style="254" customWidth="1"/>
    <col min="9" max="9" width="14.28125" style="254" customWidth="1"/>
    <col min="10" max="10" width="13.28125" style="254" customWidth="1"/>
    <col min="11" max="16384" width="9.28125" style="254" customWidth="1"/>
  </cols>
  <sheetData>
    <row r="1" s="155" customFormat="1" ht="9.75">
      <c r="A1" s="263"/>
    </row>
    <row r="2" spans="1:7" ht="12.75">
      <c r="A2" s="468" t="s">
        <v>647</v>
      </c>
      <c r="B2" s="60"/>
      <c r="C2" s="60"/>
      <c r="D2" s="60"/>
      <c r="E2" s="60"/>
      <c r="F2" s="60"/>
      <c r="G2" s="60"/>
    </row>
    <row r="3" spans="1:7" ht="9.75">
      <c r="A3" s="60"/>
      <c r="B3" s="60"/>
      <c r="C3" s="60"/>
      <c r="D3" s="60"/>
      <c r="E3" s="60"/>
      <c r="F3" s="60"/>
      <c r="G3" s="60"/>
    </row>
    <row r="4" spans="1:7" ht="9.75">
      <c r="A4" s="71" t="s">
        <v>106</v>
      </c>
      <c r="B4" s="60"/>
      <c r="C4" s="60"/>
      <c r="D4" s="60"/>
      <c r="E4" s="60"/>
      <c r="F4" s="60"/>
      <c r="G4" s="60"/>
    </row>
    <row r="5" spans="1:7" ht="9.75">
      <c r="A5" s="71"/>
      <c r="B5" s="60"/>
      <c r="C5" s="60"/>
      <c r="D5" s="60"/>
      <c r="E5" s="60"/>
      <c r="F5" s="60"/>
      <c r="G5" s="60"/>
    </row>
    <row r="6" spans="1:7" s="264" customFormat="1" ht="9.75">
      <c r="A6" s="95" t="s">
        <v>381</v>
      </c>
      <c r="B6" s="594">
        <f>'Dane podstawowe'!$B$9</f>
        <v>43465</v>
      </c>
      <c r="C6" s="594">
        <f>'Dane podstawowe'!$B$14</f>
        <v>43100</v>
      </c>
      <c r="D6" s="60"/>
      <c r="E6" s="60"/>
      <c r="F6" s="60"/>
      <c r="G6" s="61"/>
    </row>
    <row r="7" spans="1:7" s="52" customFormat="1" ht="12.75">
      <c r="A7" s="265" t="s">
        <v>346</v>
      </c>
      <c r="B7" s="266">
        <v>572596</v>
      </c>
      <c r="C7" s="132">
        <v>419357</v>
      </c>
      <c r="D7" s="62"/>
      <c r="E7" s="62"/>
      <c r="F7" s="62"/>
      <c r="G7" s="62"/>
    </row>
    <row r="8" spans="1:7" s="52" customFormat="1" ht="20.25">
      <c r="A8" s="139" t="s">
        <v>347</v>
      </c>
      <c r="B8" s="266">
        <v>250918</v>
      </c>
      <c r="C8" s="132">
        <v>49701</v>
      </c>
      <c r="D8" s="62"/>
      <c r="E8" s="62"/>
      <c r="F8" s="62"/>
      <c r="G8" s="62"/>
    </row>
    <row r="9" spans="1:7" s="52" customFormat="1" ht="12.75">
      <c r="A9" s="131" t="s">
        <v>389</v>
      </c>
      <c r="B9" s="122">
        <f>SUM(B7:B8)</f>
        <v>823514</v>
      </c>
      <c r="C9" s="122">
        <f>SUM(C7:C8)</f>
        <v>469058</v>
      </c>
      <c r="D9" s="62"/>
      <c r="E9" s="62"/>
      <c r="F9" s="62"/>
      <c r="G9" s="62"/>
    </row>
    <row r="10" spans="1:7" ht="9.75">
      <c r="A10" s="60"/>
      <c r="B10" s="344">
        <f>Aktywa!D4-'NOTA 9 -Rzeczowe aktywa trwałe'!B9</f>
        <v>0</v>
      </c>
      <c r="C10" s="344">
        <f>Aktywa!E4-'NOTA 9 -Rzeczowe aktywa trwałe'!C9</f>
        <v>0</v>
      </c>
      <c r="D10" s="60"/>
      <c r="E10" s="60"/>
      <c r="F10" s="60"/>
      <c r="G10" s="60"/>
    </row>
    <row r="11" spans="1:7" ht="9.75" hidden="1">
      <c r="A11" s="71" t="s">
        <v>107</v>
      </c>
      <c r="B11" s="60"/>
      <c r="C11" s="60"/>
      <c r="D11" s="60"/>
      <c r="E11" s="60"/>
      <c r="F11" s="60"/>
      <c r="G11" s="60"/>
    </row>
    <row r="12" spans="1:7" ht="9.75" hidden="1">
      <c r="A12" s="71"/>
      <c r="B12" s="60"/>
      <c r="C12" s="60"/>
      <c r="D12" s="60"/>
      <c r="E12" s="60"/>
      <c r="F12" s="60"/>
      <c r="G12" s="60"/>
    </row>
    <row r="13" spans="1:7" ht="9.75" hidden="1">
      <c r="A13" s="136" t="s">
        <v>348</v>
      </c>
      <c r="B13" s="95">
        <f>'Dane podstawowe'!$B$9</f>
        <v>43465</v>
      </c>
      <c r="C13" s="95">
        <f>'Dane podstawowe'!$B$14</f>
        <v>43100</v>
      </c>
      <c r="D13" s="60"/>
      <c r="E13" s="60"/>
      <c r="F13" s="60"/>
      <c r="G13" s="60"/>
    </row>
    <row r="14" spans="1:7" s="52" customFormat="1" ht="21" customHeight="1" hidden="1">
      <c r="A14" s="490" t="s">
        <v>454</v>
      </c>
      <c r="B14" s="117"/>
      <c r="C14" s="117"/>
      <c r="D14" s="62"/>
      <c r="E14" s="62"/>
      <c r="F14" s="62"/>
      <c r="G14" s="62"/>
    </row>
    <row r="15" spans="1:7" s="52" customFormat="1" ht="12.75" hidden="1">
      <c r="A15" s="490" t="s">
        <v>455</v>
      </c>
      <c r="B15" s="117"/>
      <c r="C15" s="117"/>
      <c r="D15" s="62"/>
      <c r="E15" s="62"/>
      <c r="F15" s="62"/>
      <c r="G15" s="62"/>
    </row>
    <row r="16" spans="1:7" s="52" customFormat="1" ht="12.75" hidden="1">
      <c r="A16" s="490" t="s">
        <v>456</v>
      </c>
      <c r="B16" s="117"/>
      <c r="C16" s="117"/>
      <c r="D16" s="62"/>
      <c r="E16" s="62"/>
      <c r="F16" s="62"/>
      <c r="G16" s="62"/>
    </row>
    <row r="17" spans="1:7" s="52" customFormat="1" ht="12.75" hidden="1">
      <c r="A17" s="490" t="s">
        <v>457</v>
      </c>
      <c r="B17" s="117"/>
      <c r="C17" s="117"/>
      <c r="D17" s="62"/>
      <c r="E17" s="62"/>
      <c r="F17" s="62"/>
      <c r="G17" s="62"/>
    </row>
    <row r="18" spans="1:7" s="52" customFormat="1" ht="12.75" hidden="1">
      <c r="A18" s="69"/>
      <c r="B18" s="117"/>
      <c r="C18" s="117"/>
      <c r="D18" s="62"/>
      <c r="E18" s="62"/>
      <c r="F18" s="62"/>
      <c r="G18" s="62"/>
    </row>
    <row r="19" spans="1:7" s="52" customFormat="1" ht="12.75" hidden="1">
      <c r="A19" s="69"/>
      <c r="B19" s="117"/>
      <c r="C19" s="117"/>
      <c r="D19" s="62"/>
      <c r="E19" s="62"/>
      <c r="F19" s="62"/>
      <c r="G19" s="62"/>
    </row>
    <row r="20" spans="1:7" s="100" customFormat="1" ht="30" hidden="1">
      <c r="A20" s="131" t="s">
        <v>349</v>
      </c>
      <c r="B20" s="105">
        <f>SUM(B14:B19)</f>
        <v>0</v>
      </c>
      <c r="C20" s="105">
        <f>SUM(C14:C19)</f>
        <v>0</v>
      </c>
      <c r="D20" s="62"/>
      <c r="E20" s="62"/>
      <c r="F20" s="62"/>
      <c r="G20" s="256"/>
    </row>
    <row r="21" spans="1:7" s="100" customFormat="1" ht="12.75">
      <c r="A21" s="267"/>
      <c r="B21" s="268"/>
      <c r="C21" s="268"/>
      <c r="D21" s="62"/>
      <c r="E21" s="62"/>
      <c r="F21" s="62"/>
      <c r="G21" s="256"/>
    </row>
    <row r="22" spans="1:7" s="100" customFormat="1" ht="12.75" hidden="1">
      <c r="A22" s="71" t="s">
        <v>509</v>
      </c>
      <c r="B22" s="268"/>
      <c r="C22" s="268"/>
      <c r="D22" s="62"/>
      <c r="E22" s="62"/>
      <c r="F22" s="62"/>
      <c r="G22" s="256"/>
    </row>
    <row r="23" spans="1:7" s="100" customFormat="1" ht="12.75" hidden="1">
      <c r="A23" s="267"/>
      <c r="B23" s="268"/>
      <c r="C23" s="268"/>
      <c r="D23" s="62"/>
      <c r="E23" s="62"/>
      <c r="F23" s="62"/>
      <c r="G23" s="256"/>
    </row>
    <row r="24" spans="1:7" s="100" customFormat="1" ht="12.75" hidden="1">
      <c r="A24" s="147" t="s">
        <v>510</v>
      </c>
      <c r="B24" s="95">
        <f>'Dane podstawowe'!$B$9</f>
        <v>43465</v>
      </c>
      <c r="C24" s="95">
        <f>'Dane podstawowe'!$B$14</f>
        <v>43100</v>
      </c>
      <c r="D24" s="62"/>
      <c r="E24" s="62"/>
      <c r="F24" s="62"/>
      <c r="G24" s="256"/>
    </row>
    <row r="25" spans="1:7" s="100" customFormat="1" ht="12.75" hidden="1">
      <c r="A25" s="69"/>
      <c r="B25" s="117"/>
      <c r="C25" s="117"/>
      <c r="D25" s="62"/>
      <c r="E25" s="62"/>
      <c r="F25" s="62"/>
      <c r="G25" s="256"/>
    </row>
    <row r="26" spans="1:7" s="100" customFormat="1" ht="12.75" hidden="1">
      <c r="A26" s="69"/>
      <c r="B26" s="117"/>
      <c r="C26" s="117"/>
      <c r="D26" s="62"/>
      <c r="E26" s="62"/>
      <c r="F26" s="62"/>
      <c r="G26" s="256"/>
    </row>
    <row r="27" spans="1:7" s="100" customFormat="1" ht="12.75" hidden="1">
      <c r="A27" s="69"/>
      <c r="B27" s="117"/>
      <c r="C27" s="117"/>
      <c r="D27" s="62"/>
      <c r="E27" s="62"/>
      <c r="F27" s="62"/>
      <c r="G27" s="256"/>
    </row>
    <row r="28" spans="1:7" s="100" customFormat="1" ht="12.75" hidden="1">
      <c r="A28" s="69"/>
      <c r="B28" s="117"/>
      <c r="C28" s="117"/>
      <c r="D28" s="62"/>
      <c r="E28" s="62"/>
      <c r="F28" s="62"/>
      <c r="G28" s="256"/>
    </row>
    <row r="29" spans="1:7" s="100" customFormat="1" ht="12.75" hidden="1">
      <c r="A29" s="69"/>
      <c r="B29" s="117"/>
      <c r="C29" s="117"/>
      <c r="D29" s="62"/>
      <c r="E29" s="62"/>
      <c r="F29" s="62"/>
      <c r="G29" s="256"/>
    </row>
    <row r="30" spans="1:7" s="100" customFormat="1" ht="12.75" hidden="1">
      <c r="A30" s="69"/>
      <c r="B30" s="117"/>
      <c r="C30" s="117"/>
      <c r="D30" s="62"/>
      <c r="E30" s="62"/>
      <c r="F30" s="62"/>
      <c r="G30" s="256"/>
    </row>
    <row r="31" spans="1:7" s="100" customFormat="1" ht="12.75" hidden="1">
      <c r="A31" s="131" t="s">
        <v>511</v>
      </c>
      <c r="B31" s="105">
        <f>SUM(B25:B30)</f>
        <v>0</v>
      </c>
      <c r="C31" s="105">
        <f>SUM(C25:C30)</f>
        <v>0</v>
      </c>
      <c r="D31" s="62"/>
      <c r="E31" s="62"/>
      <c r="F31" s="62"/>
      <c r="G31" s="256"/>
    </row>
    <row r="32" spans="1:7" s="100" customFormat="1" ht="12.75">
      <c r="A32" s="267"/>
      <c r="B32" s="268"/>
      <c r="C32" s="268"/>
      <c r="D32" s="62"/>
      <c r="E32" s="62"/>
      <c r="F32" s="62"/>
      <c r="G32" s="256"/>
    </row>
    <row r="33" spans="1:7" ht="9.75">
      <c r="A33" s="71" t="s">
        <v>770</v>
      </c>
      <c r="B33" s="60"/>
      <c r="C33" s="60"/>
      <c r="D33" s="60"/>
      <c r="E33" s="60"/>
      <c r="F33" s="60"/>
      <c r="G33" s="60"/>
    </row>
    <row r="34" spans="1:7" ht="9.75">
      <c r="A34" s="71"/>
      <c r="B34" s="60"/>
      <c r="C34" s="60"/>
      <c r="D34" s="60"/>
      <c r="E34" s="60"/>
      <c r="F34" s="60"/>
      <c r="G34" s="60"/>
    </row>
    <row r="35" spans="1:8" s="52" customFormat="1" ht="30" outlineLevel="1">
      <c r="A35" s="133" t="s">
        <v>381</v>
      </c>
      <c r="B35" s="134" t="s">
        <v>59</v>
      </c>
      <c r="C35" s="135" t="s">
        <v>60</v>
      </c>
      <c r="D35" s="134" t="s">
        <v>61</v>
      </c>
      <c r="E35" s="135" t="s">
        <v>62</v>
      </c>
      <c r="F35" s="134" t="s">
        <v>63</v>
      </c>
      <c r="G35" s="134" t="s">
        <v>105</v>
      </c>
      <c r="H35" s="134" t="s">
        <v>389</v>
      </c>
    </row>
    <row r="36" spans="1:8" s="100" customFormat="1" ht="12.75" outlineLevel="1">
      <c r="A36" s="595" t="s">
        <v>771</v>
      </c>
      <c r="B36" s="158">
        <f aca="true" t="shared" si="0" ref="B36:G36">B94</f>
        <v>0</v>
      </c>
      <c r="C36" s="158">
        <f t="shared" si="0"/>
        <v>137341</v>
      </c>
      <c r="D36" s="158">
        <f t="shared" si="0"/>
        <v>632171</v>
      </c>
      <c r="E36" s="158">
        <f t="shared" si="0"/>
        <v>126548</v>
      </c>
      <c r="F36" s="158">
        <f t="shared" si="0"/>
        <v>67584</v>
      </c>
      <c r="G36" s="158">
        <f t="shared" si="0"/>
        <v>24004</v>
      </c>
      <c r="H36" s="158">
        <f>SUM(B36:G36)</f>
        <v>987648</v>
      </c>
    </row>
    <row r="37" spans="1:8" s="259" customFormat="1" ht="12.75" outlineLevel="1">
      <c r="A37" s="210" t="s">
        <v>270</v>
      </c>
      <c r="B37" s="269">
        <f aca="true" t="shared" si="1" ref="B37:G37">SUM(B38:B44)</f>
        <v>0</v>
      </c>
      <c r="C37" s="269">
        <f t="shared" si="1"/>
        <v>291217</v>
      </c>
      <c r="D37" s="269">
        <f t="shared" si="1"/>
        <v>49753</v>
      </c>
      <c r="E37" s="269">
        <f t="shared" si="1"/>
        <v>281325</v>
      </c>
      <c r="F37" s="269">
        <f t="shared" si="1"/>
        <v>10000</v>
      </c>
      <c r="G37" s="269">
        <f t="shared" si="1"/>
        <v>267213</v>
      </c>
      <c r="H37" s="269">
        <f aca="true" t="shared" si="2" ref="H37:H72">SUM(B37:G37)</f>
        <v>899508</v>
      </c>
    </row>
    <row r="38" spans="1:8" s="58" customFormat="1" ht="12.75" outlineLevel="1">
      <c r="A38" s="130" t="s">
        <v>512</v>
      </c>
      <c r="B38" s="199">
        <v>0</v>
      </c>
      <c r="C38" s="199">
        <v>0</v>
      </c>
      <c r="D38" s="199">
        <v>49753</v>
      </c>
      <c r="E38" s="199">
        <v>0</v>
      </c>
      <c r="F38" s="199">
        <v>10000</v>
      </c>
      <c r="G38" s="199">
        <v>267213</v>
      </c>
      <c r="H38" s="199">
        <f t="shared" si="2"/>
        <v>326966</v>
      </c>
    </row>
    <row r="39" spans="1:8" s="58" customFormat="1" ht="12.75" outlineLevel="1">
      <c r="A39" s="130" t="s">
        <v>513</v>
      </c>
      <c r="B39" s="199">
        <v>0</v>
      </c>
      <c r="C39" s="199">
        <v>291217</v>
      </c>
      <c r="D39" s="199">
        <v>0</v>
      </c>
      <c r="E39" s="199">
        <v>0</v>
      </c>
      <c r="F39" s="199">
        <v>0</v>
      </c>
      <c r="G39" s="199">
        <v>0</v>
      </c>
      <c r="H39" s="199">
        <f t="shared" si="2"/>
        <v>291217</v>
      </c>
    </row>
    <row r="40" spans="1:8" s="58" customFormat="1" ht="12.75" hidden="1" outlineLevel="1">
      <c r="A40" s="130" t="s">
        <v>16</v>
      </c>
      <c r="B40" s="199"/>
      <c r="C40" s="199"/>
      <c r="D40" s="199"/>
      <c r="E40" s="199"/>
      <c r="F40" s="199"/>
      <c r="G40" s="199"/>
      <c r="H40" s="199">
        <f t="shared" si="2"/>
        <v>0</v>
      </c>
    </row>
    <row r="41" spans="1:8" s="58" customFormat="1" ht="12.75" outlineLevel="1">
      <c r="A41" s="130" t="s">
        <v>514</v>
      </c>
      <c r="B41" s="199">
        <v>0</v>
      </c>
      <c r="C41" s="199">
        <v>0</v>
      </c>
      <c r="D41" s="199">
        <v>0</v>
      </c>
      <c r="E41" s="199">
        <v>281325</v>
      </c>
      <c r="F41" s="199">
        <v>0</v>
      </c>
      <c r="G41" s="199">
        <v>0</v>
      </c>
      <c r="H41" s="199">
        <f t="shared" si="2"/>
        <v>281325</v>
      </c>
    </row>
    <row r="42" spans="1:8" s="58" customFormat="1" ht="12.75" hidden="1" outlineLevel="1">
      <c r="A42" s="130" t="s">
        <v>515</v>
      </c>
      <c r="B42" s="199"/>
      <c r="C42" s="199"/>
      <c r="D42" s="199"/>
      <c r="E42" s="199"/>
      <c r="F42" s="199"/>
      <c r="G42" s="199"/>
      <c r="H42" s="199">
        <f t="shared" si="2"/>
        <v>0</v>
      </c>
    </row>
    <row r="43" spans="1:8" s="58" customFormat="1" ht="12.75" hidden="1" outlineLevel="1">
      <c r="A43" s="364" t="s">
        <v>65</v>
      </c>
      <c r="B43" s="199"/>
      <c r="C43" s="199"/>
      <c r="D43" s="199"/>
      <c r="E43" s="199"/>
      <c r="F43" s="199"/>
      <c r="G43" s="199"/>
      <c r="H43" s="199">
        <f t="shared" si="2"/>
        <v>0</v>
      </c>
    </row>
    <row r="44" spans="1:8" s="58" customFormat="1" ht="12.75" hidden="1" outlineLevel="1">
      <c r="A44" s="130" t="s">
        <v>43</v>
      </c>
      <c r="B44" s="199"/>
      <c r="C44" s="199"/>
      <c r="D44" s="199"/>
      <c r="E44" s="199"/>
      <c r="F44" s="199"/>
      <c r="G44" s="199"/>
      <c r="H44" s="199">
        <f t="shared" si="2"/>
        <v>0</v>
      </c>
    </row>
    <row r="45" spans="1:8" s="270" customFormat="1" ht="12.75" outlineLevel="1">
      <c r="A45" s="210" t="s">
        <v>269</v>
      </c>
      <c r="B45" s="269">
        <f aca="true" t="shared" si="3" ref="B45:G45">SUM(B46:B51)</f>
        <v>0</v>
      </c>
      <c r="C45" s="269">
        <f t="shared" si="3"/>
        <v>0</v>
      </c>
      <c r="D45" s="269">
        <f t="shared" si="3"/>
        <v>96930</v>
      </c>
      <c r="E45" s="269">
        <f t="shared" si="3"/>
        <v>126548</v>
      </c>
      <c r="F45" s="269">
        <f t="shared" si="3"/>
        <v>3728</v>
      </c>
      <c r="G45" s="269">
        <f t="shared" si="3"/>
        <v>291217</v>
      </c>
      <c r="H45" s="269">
        <f t="shared" si="2"/>
        <v>518423</v>
      </c>
    </row>
    <row r="46" spans="1:8" s="58" customFormat="1" ht="12.75" hidden="1" outlineLevel="1">
      <c r="A46" s="130" t="s">
        <v>516</v>
      </c>
      <c r="B46" s="199"/>
      <c r="C46" s="199"/>
      <c r="D46" s="199"/>
      <c r="E46" s="199"/>
      <c r="F46" s="199"/>
      <c r="G46" s="199"/>
      <c r="H46" s="199">
        <f t="shared" si="2"/>
        <v>0</v>
      </c>
    </row>
    <row r="47" spans="1:8" s="58" customFormat="1" ht="12.75" outlineLevel="1">
      <c r="A47" s="130" t="s">
        <v>517</v>
      </c>
      <c r="B47" s="199">
        <v>0</v>
      </c>
      <c r="C47" s="199">
        <v>0</v>
      </c>
      <c r="D47" s="199">
        <f>96930-36761</f>
        <v>60169</v>
      </c>
      <c r="E47" s="199">
        <v>0</v>
      </c>
      <c r="F47" s="199">
        <v>2528</v>
      </c>
      <c r="G47" s="199">
        <v>0</v>
      </c>
      <c r="H47" s="199">
        <f t="shared" si="2"/>
        <v>62697</v>
      </c>
    </row>
    <row r="48" spans="1:8" s="58" customFormat="1" ht="12.75" outlineLevel="1">
      <c r="A48" s="130" t="s">
        <v>679</v>
      </c>
      <c r="B48" s="199">
        <v>0</v>
      </c>
      <c r="C48" s="199">
        <v>0</v>
      </c>
      <c r="D48" s="199">
        <v>36761</v>
      </c>
      <c r="E48" s="199">
        <v>126548</v>
      </c>
      <c r="F48" s="199">
        <v>1200</v>
      </c>
      <c r="G48" s="199">
        <v>0</v>
      </c>
      <c r="H48" s="199">
        <f t="shared" si="2"/>
        <v>164509</v>
      </c>
    </row>
    <row r="49" spans="1:8" s="58" customFormat="1" ht="12.75" outlineLevel="1">
      <c r="A49" s="361" t="s">
        <v>811</v>
      </c>
      <c r="B49" s="199">
        <v>0</v>
      </c>
      <c r="C49" s="199">
        <v>0</v>
      </c>
      <c r="D49" s="199">
        <v>0</v>
      </c>
      <c r="E49" s="199">
        <v>0</v>
      </c>
      <c r="F49" s="199">
        <v>0</v>
      </c>
      <c r="G49" s="199">
        <v>291217</v>
      </c>
      <c r="H49" s="199">
        <f t="shared" si="2"/>
        <v>291217</v>
      </c>
    </row>
    <row r="50" spans="1:8" s="58" customFormat="1" ht="12.75" hidden="1" outlineLevel="1">
      <c r="A50" s="130" t="s">
        <v>518</v>
      </c>
      <c r="B50" s="199"/>
      <c r="C50" s="199"/>
      <c r="D50" s="199"/>
      <c r="E50" s="199"/>
      <c r="F50" s="199"/>
      <c r="G50" s="199"/>
      <c r="H50" s="199">
        <f t="shared" si="2"/>
        <v>0</v>
      </c>
    </row>
    <row r="51" spans="1:8" s="58" customFormat="1" ht="12.75" hidden="1" outlineLevel="1">
      <c r="A51" s="130" t="s">
        <v>43</v>
      </c>
      <c r="B51" s="199"/>
      <c r="C51" s="199"/>
      <c r="D51" s="199"/>
      <c r="E51" s="199"/>
      <c r="F51" s="199"/>
      <c r="G51" s="199"/>
      <c r="H51" s="199">
        <f t="shared" si="2"/>
        <v>0</v>
      </c>
    </row>
    <row r="52" spans="1:8" s="100" customFormat="1" ht="13.5" outlineLevel="1" thickBot="1">
      <c r="A52" s="129" t="s">
        <v>772</v>
      </c>
      <c r="B52" s="204">
        <f aca="true" t="shared" si="4" ref="B52:G52">B36+B37-B45</f>
        <v>0</v>
      </c>
      <c r="C52" s="204">
        <f t="shared" si="4"/>
        <v>428558</v>
      </c>
      <c r="D52" s="204">
        <f t="shared" si="4"/>
        <v>584994</v>
      </c>
      <c r="E52" s="204">
        <f t="shared" si="4"/>
        <v>281325</v>
      </c>
      <c r="F52" s="204">
        <f t="shared" si="4"/>
        <v>73856</v>
      </c>
      <c r="G52" s="204">
        <f t="shared" si="4"/>
        <v>0</v>
      </c>
      <c r="H52" s="204">
        <f t="shared" si="2"/>
        <v>1368733</v>
      </c>
    </row>
    <row r="53" spans="1:8" s="52" customFormat="1" ht="13.5" outlineLevel="1" thickTop="1">
      <c r="A53" s="77" t="s">
        <v>773</v>
      </c>
      <c r="B53" s="123">
        <f aca="true" t="shared" si="5" ref="B53:G53">B105</f>
        <v>0</v>
      </c>
      <c r="C53" s="123">
        <f t="shared" si="5"/>
        <v>55095</v>
      </c>
      <c r="D53" s="123">
        <f t="shared" si="5"/>
        <v>354995</v>
      </c>
      <c r="E53" s="123">
        <f t="shared" si="5"/>
        <v>76847</v>
      </c>
      <c r="F53" s="123">
        <f t="shared" si="5"/>
        <v>31653</v>
      </c>
      <c r="G53" s="123">
        <f t="shared" si="5"/>
        <v>0</v>
      </c>
      <c r="H53" s="123">
        <f t="shared" si="2"/>
        <v>518590</v>
      </c>
    </row>
    <row r="54" spans="1:8" s="259" customFormat="1" ht="12.75" outlineLevel="1">
      <c r="A54" s="210" t="s">
        <v>270</v>
      </c>
      <c r="B54" s="269">
        <f aca="true" t="shared" si="6" ref="B54:G54">SUM(B55:B57)</f>
        <v>0</v>
      </c>
      <c r="C54" s="269">
        <f t="shared" si="6"/>
        <v>28354</v>
      </c>
      <c r="D54" s="269">
        <f t="shared" si="6"/>
        <v>105891</v>
      </c>
      <c r="E54" s="269">
        <f t="shared" si="6"/>
        <v>48308</v>
      </c>
      <c r="F54" s="269">
        <f t="shared" si="6"/>
        <v>13602</v>
      </c>
      <c r="G54" s="269">
        <f t="shared" si="6"/>
        <v>0</v>
      </c>
      <c r="H54" s="269">
        <f t="shared" si="2"/>
        <v>196155</v>
      </c>
    </row>
    <row r="55" spans="1:8" s="58" customFormat="1" ht="12.75" outlineLevel="1">
      <c r="A55" s="130" t="s">
        <v>519</v>
      </c>
      <c r="B55" s="199">
        <v>0</v>
      </c>
      <c r="C55" s="199">
        <v>28354</v>
      </c>
      <c r="D55" s="199">
        <v>105891</v>
      </c>
      <c r="E55" s="199">
        <v>48308</v>
      </c>
      <c r="F55" s="199">
        <v>13602</v>
      </c>
      <c r="G55" s="199">
        <v>0</v>
      </c>
      <c r="H55" s="199">
        <f t="shared" si="2"/>
        <v>196155</v>
      </c>
    </row>
    <row r="56" spans="1:8" s="58" customFormat="1" ht="12.75" hidden="1" outlineLevel="1">
      <c r="A56" s="130" t="s">
        <v>515</v>
      </c>
      <c r="B56" s="199"/>
      <c r="C56" s="199"/>
      <c r="D56" s="199"/>
      <c r="E56" s="199"/>
      <c r="F56" s="199"/>
      <c r="G56" s="199"/>
      <c r="H56" s="199">
        <f t="shared" si="2"/>
        <v>0</v>
      </c>
    </row>
    <row r="57" spans="1:8" s="58" customFormat="1" ht="12.75" hidden="1" outlineLevel="1">
      <c r="A57" s="130" t="s">
        <v>43</v>
      </c>
      <c r="B57" s="199"/>
      <c r="C57" s="199"/>
      <c r="D57" s="199"/>
      <c r="E57" s="199"/>
      <c r="F57" s="199"/>
      <c r="G57" s="199"/>
      <c r="H57" s="199">
        <f t="shared" si="2"/>
        <v>0</v>
      </c>
    </row>
    <row r="58" spans="1:8" s="259" customFormat="1" ht="12.75" outlineLevel="1">
      <c r="A58" s="210" t="s">
        <v>269</v>
      </c>
      <c r="B58" s="269">
        <f aca="true" t="shared" si="7" ref="B58:G58">SUM(B59:B62)</f>
        <v>0</v>
      </c>
      <c r="C58" s="269">
        <f t="shared" si="7"/>
        <v>0</v>
      </c>
      <c r="D58" s="269">
        <f t="shared" si="7"/>
        <v>72150</v>
      </c>
      <c r="E58" s="269">
        <f t="shared" si="7"/>
        <v>94748</v>
      </c>
      <c r="F58" s="269">
        <f t="shared" si="7"/>
        <v>2628</v>
      </c>
      <c r="G58" s="269">
        <f t="shared" si="7"/>
        <v>0</v>
      </c>
      <c r="H58" s="269">
        <f t="shared" si="2"/>
        <v>169526</v>
      </c>
    </row>
    <row r="59" spans="1:8" s="58" customFormat="1" ht="12.75" outlineLevel="1">
      <c r="A59" s="130" t="s">
        <v>517</v>
      </c>
      <c r="B59" s="199">
        <v>0</v>
      </c>
      <c r="C59" s="199">
        <v>0</v>
      </c>
      <c r="D59" s="199">
        <v>58315</v>
      </c>
      <c r="E59" s="199">
        <v>0</v>
      </c>
      <c r="F59" s="199">
        <v>2528</v>
      </c>
      <c r="G59" s="199">
        <v>0</v>
      </c>
      <c r="H59" s="199">
        <f t="shared" si="2"/>
        <v>60843</v>
      </c>
    </row>
    <row r="60" spans="1:8" s="58" customFormat="1" ht="12.75" outlineLevel="1">
      <c r="A60" s="130" t="s">
        <v>520</v>
      </c>
      <c r="B60" s="199">
        <v>0</v>
      </c>
      <c r="C60" s="199">
        <v>0</v>
      </c>
      <c r="D60" s="199">
        <f>72150-58315</f>
        <v>13835</v>
      </c>
      <c r="E60" s="199">
        <v>94748</v>
      </c>
      <c r="F60" s="199">
        <v>100</v>
      </c>
      <c r="G60" s="199">
        <v>0</v>
      </c>
      <c r="H60" s="199">
        <f t="shared" si="2"/>
        <v>108683</v>
      </c>
    </row>
    <row r="61" spans="1:8" s="58" customFormat="1" ht="12.75" hidden="1" outlineLevel="1">
      <c r="A61" s="361" t="s">
        <v>810</v>
      </c>
      <c r="B61" s="199"/>
      <c r="C61" s="199"/>
      <c r="D61" s="199"/>
      <c r="E61" s="199">
        <v>0</v>
      </c>
      <c r="F61" s="199"/>
      <c r="G61" s="199"/>
      <c r="H61" s="199">
        <f t="shared" si="2"/>
        <v>0</v>
      </c>
    </row>
    <row r="62" spans="1:8" s="58" customFormat="1" ht="12.75" hidden="1" outlineLevel="1">
      <c r="A62" s="130" t="s">
        <v>43</v>
      </c>
      <c r="B62" s="199"/>
      <c r="C62" s="199"/>
      <c r="D62" s="199"/>
      <c r="E62" s="199"/>
      <c r="F62" s="199"/>
      <c r="G62" s="199"/>
      <c r="H62" s="199">
        <f t="shared" si="2"/>
        <v>0</v>
      </c>
    </row>
    <row r="63" spans="1:8" s="52" customFormat="1" ht="13.5" outlineLevel="1" thickBot="1">
      <c r="A63" s="77" t="s">
        <v>774</v>
      </c>
      <c r="B63" s="206">
        <f aca="true" t="shared" si="8" ref="B63:G63">B53+B54-B58</f>
        <v>0</v>
      </c>
      <c r="C63" s="206">
        <f t="shared" si="8"/>
        <v>83449</v>
      </c>
      <c r="D63" s="206">
        <f t="shared" si="8"/>
        <v>388736</v>
      </c>
      <c r="E63" s="206">
        <f t="shared" si="8"/>
        <v>30407</v>
      </c>
      <c r="F63" s="206">
        <f t="shared" si="8"/>
        <v>42627</v>
      </c>
      <c r="G63" s="206">
        <f t="shared" si="8"/>
        <v>0</v>
      </c>
      <c r="H63" s="206">
        <f t="shared" si="2"/>
        <v>545219</v>
      </c>
    </row>
    <row r="64" spans="1:8" s="52" customFormat="1" ht="13.5" hidden="1" outlineLevel="1" thickTop="1">
      <c r="A64" s="77" t="str">
        <f>CONCATENATE("Odpisy aktualizujące na dzień"," ",'Dane podstawowe'!$B$8)</f>
        <v>Odpisy aktualizujące na dzień 43101</v>
      </c>
      <c r="B64" s="205">
        <f aca="true" t="shared" si="9" ref="B64:G64">B114</f>
        <v>0</v>
      </c>
      <c r="C64" s="205">
        <f t="shared" si="9"/>
        <v>0</v>
      </c>
      <c r="D64" s="205">
        <f t="shared" si="9"/>
        <v>0</v>
      </c>
      <c r="E64" s="205">
        <f t="shared" si="9"/>
        <v>0</v>
      </c>
      <c r="F64" s="205">
        <f t="shared" si="9"/>
        <v>0</v>
      </c>
      <c r="G64" s="205">
        <f t="shared" si="9"/>
        <v>0</v>
      </c>
      <c r="H64" s="205">
        <f t="shared" si="2"/>
        <v>0</v>
      </c>
    </row>
    <row r="65" spans="1:8" s="259" customFormat="1" ht="12.75" hidden="1" outlineLevel="1">
      <c r="A65" s="271" t="s">
        <v>270</v>
      </c>
      <c r="B65" s="272">
        <f aca="true" t="shared" si="10" ref="B65:G65">SUM(B66:B67)</f>
        <v>0</v>
      </c>
      <c r="C65" s="272">
        <f t="shared" si="10"/>
        <v>0</v>
      </c>
      <c r="D65" s="272">
        <f t="shared" si="10"/>
        <v>0</v>
      </c>
      <c r="E65" s="272">
        <f t="shared" si="10"/>
        <v>0</v>
      </c>
      <c r="F65" s="272">
        <f t="shared" si="10"/>
        <v>0</v>
      </c>
      <c r="G65" s="272">
        <f t="shared" si="10"/>
        <v>0</v>
      </c>
      <c r="H65" s="272">
        <f t="shared" si="2"/>
        <v>0</v>
      </c>
    </row>
    <row r="66" spans="1:8" s="58" customFormat="1" ht="12.75" hidden="1" outlineLevel="1">
      <c r="A66" s="130" t="s">
        <v>521</v>
      </c>
      <c r="B66" s="257"/>
      <c r="C66" s="257"/>
      <c r="D66" s="257"/>
      <c r="E66" s="257"/>
      <c r="F66" s="257"/>
      <c r="G66" s="257"/>
      <c r="H66" s="257">
        <f t="shared" si="2"/>
        <v>0</v>
      </c>
    </row>
    <row r="67" spans="1:8" s="58" customFormat="1" ht="12.75" hidden="1" outlineLevel="1">
      <c r="A67" s="130" t="s">
        <v>43</v>
      </c>
      <c r="B67" s="257"/>
      <c r="C67" s="257"/>
      <c r="D67" s="257"/>
      <c r="E67" s="257"/>
      <c r="F67" s="257"/>
      <c r="G67" s="257"/>
      <c r="H67" s="257">
        <f t="shared" si="2"/>
        <v>0</v>
      </c>
    </row>
    <row r="68" spans="1:8" s="259" customFormat="1" ht="12.75" hidden="1" outlineLevel="1">
      <c r="A68" s="271" t="s">
        <v>269</v>
      </c>
      <c r="B68" s="272">
        <f aca="true" t="shared" si="11" ref="B68:G68">SUM(B69:B71)</f>
        <v>0</v>
      </c>
      <c r="C68" s="272">
        <f t="shared" si="11"/>
        <v>0</v>
      </c>
      <c r="D68" s="272">
        <f t="shared" si="11"/>
        <v>0</v>
      </c>
      <c r="E68" s="272">
        <f t="shared" si="11"/>
        <v>0</v>
      </c>
      <c r="F68" s="272">
        <f t="shared" si="11"/>
        <v>0</v>
      </c>
      <c r="G68" s="272">
        <f t="shared" si="11"/>
        <v>0</v>
      </c>
      <c r="H68" s="272">
        <f t="shared" si="2"/>
        <v>0</v>
      </c>
    </row>
    <row r="69" spans="1:8" s="58" customFormat="1" ht="12.75" hidden="1" outlineLevel="1">
      <c r="A69" s="130" t="s">
        <v>522</v>
      </c>
      <c r="B69" s="199"/>
      <c r="C69" s="199"/>
      <c r="D69" s="199"/>
      <c r="E69" s="199"/>
      <c r="F69" s="199"/>
      <c r="G69" s="199"/>
      <c r="H69" s="199">
        <f t="shared" si="2"/>
        <v>0</v>
      </c>
    </row>
    <row r="70" spans="1:8" s="58" customFormat="1" ht="12.75" hidden="1" outlineLevel="1">
      <c r="A70" s="130" t="s">
        <v>523</v>
      </c>
      <c r="B70" s="199"/>
      <c r="C70" s="199"/>
      <c r="D70" s="199"/>
      <c r="E70" s="199"/>
      <c r="F70" s="199"/>
      <c r="G70" s="199"/>
      <c r="H70" s="199">
        <f t="shared" si="2"/>
        <v>0</v>
      </c>
    </row>
    <row r="71" spans="1:8" s="58" customFormat="1" ht="12.75" hidden="1" outlineLevel="1">
      <c r="A71" s="130" t="s">
        <v>43</v>
      </c>
      <c r="B71" s="199"/>
      <c r="C71" s="199"/>
      <c r="D71" s="199"/>
      <c r="E71" s="199"/>
      <c r="F71" s="199"/>
      <c r="G71" s="199"/>
      <c r="H71" s="199">
        <f t="shared" si="2"/>
        <v>0</v>
      </c>
    </row>
    <row r="72" spans="1:8" s="52" customFormat="1" ht="13.5" hidden="1" outlineLevel="1" thickBot="1">
      <c r="A72" s="77" t="str">
        <f>CONCATENATE("Odpisy aktualizujące na dzień"," ",'Dane podstawowe'!$B$9)</f>
        <v>Odpisy aktualizujące na dzień 43465</v>
      </c>
      <c r="B72" s="206">
        <f aca="true" t="shared" si="12" ref="B72:G72">B64+B65-B68</f>
        <v>0</v>
      </c>
      <c r="C72" s="206">
        <f t="shared" si="12"/>
        <v>0</v>
      </c>
      <c r="D72" s="206">
        <f t="shared" si="12"/>
        <v>0</v>
      </c>
      <c r="E72" s="206">
        <f t="shared" si="12"/>
        <v>0</v>
      </c>
      <c r="F72" s="206">
        <f t="shared" si="12"/>
        <v>0</v>
      </c>
      <c r="G72" s="206">
        <f t="shared" si="12"/>
        <v>0</v>
      </c>
      <c r="H72" s="206">
        <f t="shared" si="2"/>
        <v>0</v>
      </c>
    </row>
    <row r="73" spans="1:8" s="100" customFormat="1" ht="14.25" outlineLevel="1" thickBot="1" thickTop="1">
      <c r="A73" s="129" t="s">
        <v>775</v>
      </c>
      <c r="B73" s="204">
        <f aca="true" t="shared" si="13" ref="B73:H73">B52-B63-B72</f>
        <v>0</v>
      </c>
      <c r="C73" s="204">
        <f t="shared" si="13"/>
        <v>345109</v>
      </c>
      <c r="D73" s="204">
        <f t="shared" si="13"/>
        <v>196258</v>
      </c>
      <c r="E73" s="204">
        <f t="shared" si="13"/>
        <v>250918</v>
      </c>
      <c r="F73" s="204">
        <f t="shared" si="13"/>
        <v>31229</v>
      </c>
      <c r="G73" s="204">
        <f t="shared" si="13"/>
        <v>0</v>
      </c>
      <c r="H73" s="204">
        <f t="shared" si="13"/>
        <v>823514</v>
      </c>
    </row>
    <row r="74" spans="1:8" s="100" customFormat="1" ht="13.5" outlineLevel="1" thickTop="1">
      <c r="A74" s="144"/>
      <c r="B74" s="273"/>
      <c r="C74" s="273"/>
      <c r="D74" s="273"/>
      <c r="E74" s="273"/>
      <c r="F74" s="273"/>
      <c r="G74" s="273"/>
      <c r="H74" s="273"/>
    </row>
    <row r="75" spans="1:8" s="100" customFormat="1" ht="12.75" outlineLevel="1">
      <c r="A75" s="71" t="s">
        <v>776</v>
      </c>
      <c r="B75" s="60"/>
      <c r="C75" s="273"/>
      <c r="D75" s="273"/>
      <c r="E75" s="273"/>
      <c r="F75" s="273"/>
      <c r="G75" s="273"/>
      <c r="H75" s="273"/>
    </row>
    <row r="76" spans="1:8" ht="9.75">
      <c r="A76" s="60"/>
      <c r="B76" s="60"/>
      <c r="C76" s="60"/>
      <c r="D76" s="60"/>
      <c r="E76" s="60"/>
      <c r="F76" s="60"/>
      <c r="G76" s="60"/>
      <c r="H76" s="60"/>
    </row>
    <row r="77" spans="1:8" s="52" customFormat="1" ht="30" outlineLevel="1">
      <c r="A77" s="133" t="s">
        <v>381</v>
      </c>
      <c r="B77" s="134" t="s">
        <v>59</v>
      </c>
      <c r="C77" s="135" t="s">
        <v>60</v>
      </c>
      <c r="D77" s="134" t="s">
        <v>61</v>
      </c>
      <c r="E77" s="135" t="s">
        <v>62</v>
      </c>
      <c r="F77" s="134" t="s">
        <v>63</v>
      </c>
      <c r="G77" s="134" t="s">
        <v>105</v>
      </c>
      <c r="H77" s="134" t="s">
        <v>389</v>
      </c>
    </row>
    <row r="78" spans="1:8" s="100" customFormat="1" ht="18.75" customHeight="1" outlineLevel="1">
      <c r="A78" s="595" t="s">
        <v>777</v>
      </c>
      <c r="B78" s="158">
        <v>0</v>
      </c>
      <c r="C78" s="158">
        <v>133812</v>
      </c>
      <c r="D78" s="158">
        <v>555364</v>
      </c>
      <c r="E78" s="158">
        <v>126548</v>
      </c>
      <c r="F78" s="158">
        <v>64449</v>
      </c>
      <c r="G78" s="158">
        <v>0</v>
      </c>
      <c r="H78" s="158">
        <f>SUM(B78:G78)</f>
        <v>880173</v>
      </c>
    </row>
    <row r="79" spans="1:8" s="52" customFormat="1" ht="12.75" outlineLevel="1">
      <c r="A79" s="210" t="s">
        <v>270</v>
      </c>
      <c r="B79" s="269">
        <f aca="true" t="shared" si="14" ref="B79:G79">SUM(B80:B86)</f>
        <v>0</v>
      </c>
      <c r="C79" s="269">
        <f t="shared" si="14"/>
        <v>3529</v>
      </c>
      <c r="D79" s="269">
        <f t="shared" si="14"/>
        <v>76807</v>
      </c>
      <c r="E79" s="269">
        <f t="shared" si="14"/>
        <v>0</v>
      </c>
      <c r="F79" s="269">
        <f t="shared" si="14"/>
        <v>3135</v>
      </c>
      <c r="G79" s="269">
        <f t="shared" si="14"/>
        <v>24004</v>
      </c>
      <c r="H79" s="269">
        <f aca="true" t="shared" si="15" ref="H79:H114">SUM(B79:G79)</f>
        <v>107475</v>
      </c>
    </row>
    <row r="80" spans="1:8" s="58" customFormat="1" ht="12.75" outlineLevel="1">
      <c r="A80" s="130" t="s">
        <v>512</v>
      </c>
      <c r="B80" s="199">
        <v>0</v>
      </c>
      <c r="C80" s="199">
        <v>3529</v>
      </c>
      <c r="D80" s="199">
        <v>76807</v>
      </c>
      <c r="E80" s="199">
        <v>0</v>
      </c>
      <c r="F80" s="199">
        <v>3135</v>
      </c>
      <c r="G80" s="448">
        <v>24004</v>
      </c>
      <c r="H80" s="199">
        <f t="shared" si="15"/>
        <v>107475</v>
      </c>
    </row>
    <row r="81" spans="1:8" s="58" customFormat="1" ht="12.75" hidden="1" outlineLevel="1">
      <c r="A81" s="130" t="s">
        <v>513</v>
      </c>
      <c r="B81" s="199"/>
      <c r="C81" s="199"/>
      <c r="D81" s="199"/>
      <c r="E81" s="199"/>
      <c r="F81" s="199"/>
      <c r="G81" s="199"/>
      <c r="H81" s="199">
        <f t="shared" si="15"/>
        <v>0</v>
      </c>
    </row>
    <row r="82" spans="1:8" s="58" customFormat="1" ht="12.75" hidden="1" outlineLevel="1">
      <c r="A82" s="130" t="s">
        <v>16</v>
      </c>
      <c r="B82" s="199"/>
      <c r="C82" s="199"/>
      <c r="D82" s="199"/>
      <c r="E82" s="199"/>
      <c r="F82" s="199"/>
      <c r="G82" s="199"/>
      <c r="H82" s="199">
        <f t="shared" si="15"/>
        <v>0</v>
      </c>
    </row>
    <row r="83" spans="1:8" s="58" customFormat="1" ht="12.75" outlineLevel="1">
      <c r="A83" s="130" t="s">
        <v>514</v>
      </c>
      <c r="B83" s="199">
        <v>0</v>
      </c>
      <c r="C83" s="199">
        <v>0</v>
      </c>
      <c r="D83" s="199">
        <v>0</v>
      </c>
      <c r="E83" s="199">
        <v>0</v>
      </c>
      <c r="F83" s="199">
        <v>0</v>
      </c>
      <c r="G83" s="199">
        <v>0</v>
      </c>
      <c r="H83" s="199">
        <f t="shared" si="15"/>
        <v>0</v>
      </c>
    </row>
    <row r="84" spans="1:8" s="58" customFormat="1" ht="12.75" hidden="1" outlineLevel="1">
      <c r="A84" s="130" t="s">
        <v>515</v>
      </c>
      <c r="B84" s="199"/>
      <c r="C84" s="199"/>
      <c r="D84" s="199"/>
      <c r="E84" s="199"/>
      <c r="F84" s="199"/>
      <c r="G84" s="199"/>
      <c r="H84" s="199">
        <f t="shared" si="15"/>
        <v>0</v>
      </c>
    </row>
    <row r="85" spans="1:8" s="58" customFormat="1" ht="12.75" hidden="1" outlineLevel="1">
      <c r="A85" s="364" t="s">
        <v>65</v>
      </c>
      <c r="B85" s="199"/>
      <c r="C85" s="199"/>
      <c r="D85" s="199"/>
      <c r="E85" s="199"/>
      <c r="F85" s="199"/>
      <c r="G85" s="199"/>
      <c r="H85" s="199">
        <f t="shared" si="15"/>
        <v>0</v>
      </c>
    </row>
    <row r="86" spans="1:8" s="58" customFormat="1" ht="12.75" hidden="1" outlineLevel="1">
      <c r="A86" s="130" t="s">
        <v>43</v>
      </c>
      <c r="B86" s="199"/>
      <c r="C86" s="199"/>
      <c r="D86" s="199"/>
      <c r="E86" s="199"/>
      <c r="F86" s="199"/>
      <c r="G86" s="199"/>
      <c r="H86" s="199">
        <f t="shared" si="15"/>
        <v>0</v>
      </c>
    </row>
    <row r="87" spans="1:8" s="52" customFormat="1" ht="12.75" outlineLevel="1">
      <c r="A87" s="210" t="s">
        <v>269</v>
      </c>
      <c r="B87" s="269">
        <f aca="true" t="shared" si="16" ref="B87:G87">SUM(B88:B93)</f>
        <v>0</v>
      </c>
      <c r="C87" s="269">
        <f t="shared" si="16"/>
        <v>0</v>
      </c>
      <c r="D87" s="269">
        <f t="shared" si="16"/>
        <v>0</v>
      </c>
      <c r="E87" s="269">
        <f t="shared" si="16"/>
        <v>0</v>
      </c>
      <c r="F87" s="269">
        <f t="shared" si="16"/>
        <v>0</v>
      </c>
      <c r="G87" s="269">
        <f t="shared" si="16"/>
        <v>0</v>
      </c>
      <c r="H87" s="269">
        <f t="shared" si="15"/>
        <v>0</v>
      </c>
    </row>
    <row r="88" spans="1:8" s="58" customFormat="1" ht="12.75" hidden="1" outlineLevel="1">
      <c r="A88" s="130" t="s">
        <v>516</v>
      </c>
      <c r="B88" s="199"/>
      <c r="C88" s="199"/>
      <c r="D88" s="199"/>
      <c r="E88" s="199"/>
      <c r="F88" s="199"/>
      <c r="G88" s="199"/>
      <c r="H88" s="199">
        <f t="shared" si="15"/>
        <v>0</v>
      </c>
    </row>
    <row r="89" spans="1:8" s="58" customFormat="1" ht="12.75" outlineLevel="1">
      <c r="A89" s="130" t="s">
        <v>517</v>
      </c>
      <c r="B89" s="199">
        <v>0</v>
      </c>
      <c r="C89" s="199">
        <v>0</v>
      </c>
      <c r="D89" s="199">
        <v>0</v>
      </c>
      <c r="E89" s="199">
        <v>0</v>
      </c>
      <c r="F89" s="199">
        <v>0</v>
      </c>
      <c r="G89" s="199">
        <v>0</v>
      </c>
      <c r="H89" s="199">
        <f t="shared" si="15"/>
        <v>0</v>
      </c>
    </row>
    <row r="90" spans="1:8" s="58" customFormat="1" ht="12.75" outlineLevel="1">
      <c r="A90" s="130" t="s">
        <v>520</v>
      </c>
      <c r="B90" s="199">
        <v>0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f t="shared" si="15"/>
        <v>0</v>
      </c>
    </row>
    <row r="91" spans="1:8" s="58" customFormat="1" ht="12.75" hidden="1" outlineLevel="1">
      <c r="A91" s="130" t="s">
        <v>515</v>
      </c>
      <c r="B91" s="199"/>
      <c r="C91" s="199"/>
      <c r="D91" s="199"/>
      <c r="E91" s="199"/>
      <c r="F91" s="199"/>
      <c r="G91" s="199"/>
      <c r="H91" s="199">
        <f t="shared" si="15"/>
        <v>0</v>
      </c>
    </row>
    <row r="92" spans="1:8" s="58" customFormat="1" ht="12.75" hidden="1" outlineLevel="1">
      <c r="A92" s="130" t="s">
        <v>518</v>
      </c>
      <c r="B92" s="199"/>
      <c r="C92" s="199"/>
      <c r="D92" s="199"/>
      <c r="E92" s="199"/>
      <c r="F92" s="199"/>
      <c r="G92" s="199"/>
      <c r="H92" s="199">
        <f t="shared" si="15"/>
        <v>0</v>
      </c>
    </row>
    <row r="93" spans="1:8" s="58" customFormat="1" ht="12.75" hidden="1" outlineLevel="1">
      <c r="A93" s="130" t="s">
        <v>43</v>
      </c>
      <c r="B93" s="199"/>
      <c r="C93" s="199"/>
      <c r="D93" s="199"/>
      <c r="E93" s="199"/>
      <c r="F93" s="199"/>
      <c r="G93" s="199"/>
      <c r="H93" s="199">
        <f t="shared" si="15"/>
        <v>0</v>
      </c>
    </row>
    <row r="94" spans="1:8" s="100" customFormat="1" ht="13.5" outlineLevel="1" thickBot="1">
      <c r="A94" s="129" t="s">
        <v>778</v>
      </c>
      <c r="B94" s="204">
        <f aca="true" t="shared" si="17" ref="B94:G94">B78+B79-B87</f>
        <v>0</v>
      </c>
      <c r="C94" s="204">
        <f t="shared" si="17"/>
        <v>137341</v>
      </c>
      <c r="D94" s="204">
        <f t="shared" si="17"/>
        <v>632171</v>
      </c>
      <c r="E94" s="204">
        <f t="shared" si="17"/>
        <v>126548</v>
      </c>
      <c r="F94" s="204">
        <f t="shared" si="17"/>
        <v>67584</v>
      </c>
      <c r="G94" s="204">
        <f t="shared" si="17"/>
        <v>24004</v>
      </c>
      <c r="H94" s="204">
        <f t="shared" si="15"/>
        <v>987648</v>
      </c>
    </row>
    <row r="95" spans="1:8" s="52" customFormat="1" ht="13.5" outlineLevel="1" thickTop="1">
      <c r="A95" s="77" t="s">
        <v>779</v>
      </c>
      <c r="B95" s="123">
        <v>0</v>
      </c>
      <c r="C95" s="123">
        <v>41332</v>
      </c>
      <c r="D95" s="123">
        <v>245155</v>
      </c>
      <c r="E95" s="123">
        <v>51538</v>
      </c>
      <c r="F95" s="123">
        <v>18826</v>
      </c>
      <c r="G95" s="123">
        <v>0</v>
      </c>
      <c r="H95" s="123">
        <f t="shared" si="15"/>
        <v>356851</v>
      </c>
    </row>
    <row r="96" spans="1:8" s="52" customFormat="1" ht="12.75" customHeight="1" outlineLevel="1">
      <c r="A96" s="210" t="s">
        <v>270</v>
      </c>
      <c r="B96" s="269">
        <f aca="true" t="shared" si="18" ref="B96:G96">SUM(B97:B99)</f>
        <v>0</v>
      </c>
      <c r="C96" s="269">
        <f t="shared" si="18"/>
        <v>13763</v>
      </c>
      <c r="D96" s="269">
        <f t="shared" si="18"/>
        <v>109840</v>
      </c>
      <c r="E96" s="269">
        <f t="shared" si="18"/>
        <v>25309</v>
      </c>
      <c r="F96" s="269">
        <f t="shared" si="18"/>
        <v>12827</v>
      </c>
      <c r="G96" s="269">
        <f t="shared" si="18"/>
        <v>0</v>
      </c>
      <c r="H96" s="269">
        <f t="shared" si="15"/>
        <v>161739</v>
      </c>
    </row>
    <row r="97" spans="1:8" s="58" customFormat="1" ht="12.75" outlineLevel="1">
      <c r="A97" s="130" t="s">
        <v>519</v>
      </c>
      <c r="B97" s="199">
        <v>0</v>
      </c>
      <c r="C97" s="199">
        <v>13763</v>
      </c>
      <c r="D97" s="199">
        <v>109840</v>
      </c>
      <c r="E97" s="199">
        <v>25309</v>
      </c>
      <c r="F97" s="199">
        <v>12827</v>
      </c>
      <c r="G97" s="199">
        <v>0</v>
      </c>
      <c r="H97" s="199">
        <f t="shared" si="15"/>
        <v>161739</v>
      </c>
    </row>
    <row r="98" spans="1:8" s="58" customFormat="1" ht="12.75" hidden="1" outlineLevel="1">
      <c r="A98" s="130" t="s">
        <v>515</v>
      </c>
      <c r="B98" s="199"/>
      <c r="C98" s="199"/>
      <c r="D98" s="199"/>
      <c r="E98" s="199"/>
      <c r="F98" s="199"/>
      <c r="G98" s="199"/>
      <c r="H98" s="199">
        <f t="shared" si="15"/>
        <v>0</v>
      </c>
    </row>
    <row r="99" spans="1:8" s="58" customFormat="1" ht="12.75" hidden="1" outlineLevel="1">
      <c r="A99" s="130" t="s">
        <v>43</v>
      </c>
      <c r="B99" s="199"/>
      <c r="C99" s="199"/>
      <c r="D99" s="199"/>
      <c r="E99" s="199"/>
      <c r="F99" s="199"/>
      <c r="G99" s="199"/>
      <c r="H99" s="199">
        <f t="shared" si="15"/>
        <v>0</v>
      </c>
    </row>
    <row r="100" spans="1:8" s="52" customFormat="1" ht="12.75" outlineLevel="1">
      <c r="A100" s="210" t="s">
        <v>269</v>
      </c>
      <c r="B100" s="269">
        <f aca="true" t="shared" si="19" ref="B100:G100">SUM(B101:B104)</f>
        <v>0</v>
      </c>
      <c r="C100" s="269">
        <f t="shared" si="19"/>
        <v>0</v>
      </c>
      <c r="D100" s="269">
        <f t="shared" si="19"/>
        <v>0</v>
      </c>
      <c r="E100" s="269">
        <f t="shared" si="19"/>
        <v>0</v>
      </c>
      <c r="F100" s="269">
        <f t="shared" si="19"/>
        <v>0</v>
      </c>
      <c r="G100" s="269">
        <f t="shared" si="19"/>
        <v>0</v>
      </c>
      <c r="H100" s="269">
        <f t="shared" si="15"/>
        <v>0</v>
      </c>
    </row>
    <row r="101" spans="1:8" s="58" customFormat="1" ht="12.75" outlineLevel="1">
      <c r="A101" s="130" t="s">
        <v>517</v>
      </c>
      <c r="B101" s="199">
        <v>0</v>
      </c>
      <c r="C101" s="199">
        <v>0</v>
      </c>
      <c r="D101" s="199">
        <v>0</v>
      </c>
      <c r="E101" s="199">
        <v>0</v>
      </c>
      <c r="F101" s="199">
        <v>0</v>
      </c>
      <c r="G101" s="199">
        <v>0</v>
      </c>
      <c r="H101" s="199">
        <f t="shared" si="15"/>
        <v>0</v>
      </c>
    </row>
    <row r="102" spans="1:8" s="58" customFormat="1" ht="12.75" outlineLevel="1">
      <c r="A102" s="130" t="s">
        <v>520</v>
      </c>
      <c r="B102" s="199">
        <v>0</v>
      </c>
      <c r="C102" s="199">
        <v>0</v>
      </c>
      <c r="D102" s="199">
        <v>0</v>
      </c>
      <c r="E102" s="199">
        <v>0</v>
      </c>
      <c r="F102" s="199">
        <v>0</v>
      </c>
      <c r="G102" s="199">
        <v>0</v>
      </c>
      <c r="H102" s="199">
        <f t="shared" si="15"/>
        <v>0</v>
      </c>
    </row>
    <row r="103" spans="1:8" s="58" customFormat="1" ht="12.75" hidden="1" outlineLevel="1">
      <c r="A103" s="130" t="s">
        <v>515</v>
      </c>
      <c r="B103" s="199"/>
      <c r="C103" s="199"/>
      <c r="D103" s="199"/>
      <c r="E103" s="199"/>
      <c r="F103" s="199"/>
      <c r="G103" s="199"/>
      <c r="H103" s="199">
        <f t="shared" si="15"/>
        <v>0</v>
      </c>
    </row>
    <row r="104" spans="1:8" s="58" customFormat="1" ht="12.75" hidden="1" outlineLevel="1">
      <c r="A104" s="130" t="s">
        <v>43</v>
      </c>
      <c r="B104" s="199"/>
      <c r="C104" s="199"/>
      <c r="D104" s="199"/>
      <c r="E104" s="199"/>
      <c r="F104" s="199"/>
      <c r="G104" s="199"/>
      <c r="H104" s="199">
        <f t="shared" si="15"/>
        <v>0</v>
      </c>
    </row>
    <row r="105" spans="1:8" s="52" customFormat="1" ht="13.5" outlineLevel="1" thickBot="1">
      <c r="A105" s="77" t="s">
        <v>780</v>
      </c>
      <c r="B105" s="206">
        <f aca="true" t="shared" si="20" ref="B105:G105">B95+B96-B100</f>
        <v>0</v>
      </c>
      <c r="C105" s="206">
        <f t="shared" si="20"/>
        <v>55095</v>
      </c>
      <c r="D105" s="206">
        <f t="shared" si="20"/>
        <v>354995</v>
      </c>
      <c r="E105" s="206">
        <f t="shared" si="20"/>
        <v>76847</v>
      </c>
      <c r="F105" s="206">
        <f t="shared" si="20"/>
        <v>31653</v>
      </c>
      <c r="G105" s="206">
        <f t="shared" si="20"/>
        <v>0</v>
      </c>
      <c r="H105" s="206">
        <f t="shared" si="15"/>
        <v>518590</v>
      </c>
    </row>
    <row r="106" spans="1:8" s="52" customFormat="1" ht="11.25" customHeight="1" hidden="1" outlineLevel="1" thickTop="1">
      <c r="A106" s="77" t="str">
        <f>CONCATENATE("Odpisy aktualizujące na dzień"," ",'Dane podstawowe'!$B$7)</f>
        <v>Odpisy aktualizujące na dzień 01.01.2018 - 31.12.2018</v>
      </c>
      <c r="B106" s="205"/>
      <c r="C106" s="205"/>
      <c r="D106" s="205"/>
      <c r="E106" s="205"/>
      <c r="F106" s="205"/>
      <c r="G106" s="205"/>
      <c r="H106" s="205">
        <f t="shared" si="15"/>
        <v>0</v>
      </c>
    </row>
    <row r="107" spans="1:8" s="52" customFormat="1" ht="12.75" customHeight="1" hidden="1" outlineLevel="1">
      <c r="A107" s="271" t="s">
        <v>270</v>
      </c>
      <c r="B107" s="269">
        <f aca="true" t="shared" si="21" ref="B107:G107">SUM(B108:B109)</f>
        <v>0</v>
      </c>
      <c r="C107" s="269">
        <f t="shared" si="21"/>
        <v>0</v>
      </c>
      <c r="D107" s="269">
        <f t="shared" si="21"/>
        <v>0</v>
      </c>
      <c r="E107" s="269">
        <f t="shared" si="21"/>
        <v>0</v>
      </c>
      <c r="F107" s="269">
        <f t="shared" si="21"/>
        <v>0</v>
      </c>
      <c r="G107" s="272">
        <f t="shared" si="21"/>
        <v>0</v>
      </c>
      <c r="H107" s="272">
        <f t="shared" si="15"/>
        <v>0</v>
      </c>
    </row>
    <row r="108" spans="1:8" s="58" customFormat="1" ht="11.25" customHeight="1" hidden="1" outlineLevel="1">
      <c r="A108" s="130" t="s">
        <v>521</v>
      </c>
      <c r="B108" s="257"/>
      <c r="C108" s="257"/>
      <c r="D108" s="257"/>
      <c r="E108" s="257"/>
      <c r="F108" s="257"/>
      <c r="G108" s="257"/>
      <c r="H108" s="257">
        <f t="shared" si="15"/>
        <v>0</v>
      </c>
    </row>
    <row r="109" spans="1:8" s="58" customFormat="1" ht="11.25" customHeight="1" hidden="1" outlineLevel="1">
      <c r="A109" s="130" t="s">
        <v>43</v>
      </c>
      <c r="B109" s="257"/>
      <c r="C109" s="257"/>
      <c r="D109" s="257"/>
      <c r="E109" s="257"/>
      <c r="F109" s="257"/>
      <c r="G109" s="257"/>
      <c r="H109" s="257">
        <f t="shared" si="15"/>
        <v>0</v>
      </c>
    </row>
    <row r="110" spans="1:8" s="52" customFormat="1" ht="12.75" customHeight="1" hidden="1" outlineLevel="1">
      <c r="A110" s="271" t="s">
        <v>269</v>
      </c>
      <c r="B110" s="269">
        <f aca="true" t="shared" si="22" ref="B110:G110">SUM(B111:B113)</f>
        <v>0</v>
      </c>
      <c r="C110" s="269">
        <f t="shared" si="22"/>
        <v>0</v>
      </c>
      <c r="D110" s="269">
        <f t="shared" si="22"/>
        <v>0</v>
      </c>
      <c r="E110" s="269">
        <f t="shared" si="22"/>
        <v>0</v>
      </c>
      <c r="F110" s="269">
        <f t="shared" si="22"/>
        <v>0</v>
      </c>
      <c r="G110" s="272">
        <f t="shared" si="22"/>
        <v>0</v>
      </c>
      <c r="H110" s="272">
        <f t="shared" si="15"/>
        <v>0</v>
      </c>
    </row>
    <row r="111" spans="1:8" s="58" customFormat="1" ht="12.75" hidden="1" outlineLevel="1">
      <c r="A111" s="130" t="s">
        <v>522</v>
      </c>
      <c r="B111" s="199"/>
      <c r="C111" s="199"/>
      <c r="D111" s="199"/>
      <c r="E111" s="199"/>
      <c r="F111" s="199"/>
      <c r="G111" s="199"/>
      <c r="H111" s="199">
        <f t="shared" si="15"/>
        <v>0</v>
      </c>
    </row>
    <row r="112" spans="1:8" s="58" customFormat="1" ht="12.75" hidden="1" outlineLevel="1">
      <c r="A112" s="130" t="s">
        <v>523</v>
      </c>
      <c r="B112" s="199"/>
      <c r="C112" s="199"/>
      <c r="D112" s="199"/>
      <c r="E112" s="199"/>
      <c r="F112" s="199"/>
      <c r="G112" s="199"/>
      <c r="H112" s="199">
        <f t="shared" si="15"/>
        <v>0</v>
      </c>
    </row>
    <row r="113" spans="1:8" s="58" customFormat="1" ht="12.75" hidden="1" outlineLevel="1">
      <c r="A113" s="130" t="s">
        <v>43</v>
      </c>
      <c r="B113" s="199"/>
      <c r="C113" s="199"/>
      <c r="D113" s="199"/>
      <c r="E113" s="199"/>
      <c r="F113" s="199"/>
      <c r="G113" s="199"/>
      <c r="H113" s="199">
        <f t="shared" si="15"/>
        <v>0</v>
      </c>
    </row>
    <row r="114" spans="1:8" s="52" customFormat="1" ht="13.5" hidden="1" outlineLevel="1" thickBot="1">
      <c r="A114" s="77" t="str">
        <f>CONCATENATE("Odpisy aktualizujące na dzień"," ",'Dane podstawowe'!$B$9)</f>
        <v>Odpisy aktualizujące na dzień 43465</v>
      </c>
      <c r="B114" s="206">
        <f aca="true" t="shared" si="23" ref="B114:G114">B106+B107-B110</f>
        <v>0</v>
      </c>
      <c r="C114" s="206">
        <f t="shared" si="23"/>
        <v>0</v>
      </c>
      <c r="D114" s="206">
        <f t="shared" si="23"/>
        <v>0</v>
      </c>
      <c r="E114" s="206">
        <f t="shared" si="23"/>
        <v>0</v>
      </c>
      <c r="F114" s="206">
        <f t="shared" si="23"/>
        <v>0</v>
      </c>
      <c r="G114" s="206">
        <f t="shared" si="23"/>
        <v>0</v>
      </c>
      <c r="H114" s="206">
        <f t="shared" si="15"/>
        <v>0</v>
      </c>
    </row>
    <row r="115" spans="1:8" s="100" customFormat="1" ht="14.25" outlineLevel="1" thickBot="1" thickTop="1">
      <c r="A115" s="129" t="s">
        <v>781</v>
      </c>
      <c r="B115" s="204">
        <f aca="true" t="shared" si="24" ref="B115:H115">B94-B105-B114</f>
        <v>0</v>
      </c>
      <c r="C115" s="204">
        <f t="shared" si="24"/>
        <v>82246</v>
      </c>
      <c r="D115" s="204">
        <f t="shared" si="24"/>
        <v>277176</v>
      </c>
      <c r="E115" s="204">
        <f t="shared" si="24"/>
        <v>49701</v>
      </c>
      <c r="F115" s="204">
        <f t="shared" si="24"/>
        <v>35931</v>
      </c>
      <c r="G115" s="204">
        <f t="shared" si="24"/>
        <v>24004</v>
      </c>
      <c r="H115" s="204">
        <f t="shared" si="24"/>
        <v>469058</v>
      </c>
    </row>
    <row r="116" ht="10.5" thickTop="1"/>
    <row r="118" ht="9" customHeight="1"/>
    <row r="119" ht="9" customHeight="1">
      <c r="A119" s="140" t="s">
        <v>117</v>
      </c>
    </row>
    <row r="120" ht="9" customHeight="1"/>
    <row r="121" spans="1:7" s="264" customFormat="1" ht="9" customHeight="1">
      <c r="A121" s="632" t="s">
        <v>108</v>
      </c>
      <c r="B121" s="631">
        <f>'Dane podstawowe'!B9</f>
        <v>43465</v>
      </c>
      <c r="C121" s="631"/>
      <c r="D121" s="631"/>
      <c r="E121" s="631">
        <f>'Dane podstawowe'!B14</f>
        <v>43100</v>
      </c>
      <c r="F121" s="631"/>
      <c r="G121" s="631"/>
    </row>
    <row r="122" spans="1:7" s="264" customFormat="1" ht="9" customHeight="1">
      <c r="A122" s="632"/>
      <c r="B122" s="95" t="s">
        <v>109</v>
      </c>
      <c r="C122" s="95" t="s">
        <v>110</v>
      </c>
      <c r="D122" s="95" t="s">
        <v>111</v>
      </c>
      <c r="E122" s="95" t="s">
        <v>109</v>
      </c>
      <c r="F122" s="95" t="s">
        <v>110</v>
      </c>
      <c r="G122" s="95" t="s">
        <v>111</v>
      </c>
    </row>
    <row r="123" spans="1:7" s="275" customFormat="1" ht="9" customHeight="1">
      <c r="A123" s="278" t="s">
        <v>112</v>
      </c>
      <c r="B123" s="279">
        <v>0</v>
      </c>
      <c r="C123" s="279">
        <v>0</v>
      </c>
      <c r="D123" s="279">
        <f>B123-C123</f>
        <v>0</v>
      </c>
      <c r="E123" s="279">
        <v>0</v>
      </c>
      <c r="F123" s="279">
        <v>0</v>
      </c>
      <c r="G123" s="279">
        <f>E123-F123</f>
        <v>0</v>
      </c>
    </row>
    <row r="124" spans="1:7" s="275" customFormat="1" ht="9" customHeight="1">
      <c r="A124" s="278" t="s">
        <v>113</v>
      </c>
      <c r="B124" s="279">
        <v>0</v>
      </c>
      <c r="C124" s="279">
        <v>0</v>
      </c>
      <c r="D124" s="279">
        <f>B124-C124</f>
        <v>0</v>
      </c>
      <c r="E124" s="279">
        <v>0</v>
      </c>
      <c r="F124" s="279">
        <v>0</v>
      </c>
      <c r="G124" s="279">
        <f>E124-F124</f>
        <v>0</v>
      </c>
    </row>
    <row r="125" spans="1:7" s="275" customFormat="1" ht="9" customHeight="1">
      <c r="A125" s="278" t="s">
        <v>114</v>
      </c>
      <c r="B125" s="279">
        <v>281325</v>
      </c>
      <c r="C125" s="279">
        <f>281325-250918</f>
        <v>30407</v>
      </c>
      <c r="D125" s="279">
        <f>B125-C125</f>
        <v>250918</v>
      </c>
      <c r="E125" s="279">
        <v>126548</v>
      </c>
      <c r="F125" s="279">
        <v>76847</v>
      </c>
      <c r="G125" s="279">
        <f>E125-F125</f>
        <v>49701</v>
      </c>
    </row>
    <row r="126" spans="1:7" s="275" customFormat="1" ht="9" customHeight="1">
      <c r="A126" s="278" t="s">
        <v>115</v>
      </c>
      <c r="B126" s="279">
        <v>0</v>
      </c>
      <c r="C126" s="279">
        <v>0</v>
      </c>
      <c r="D126" s="279">
        <f>B126-C126</f>
        <v>0</v>
      </c>
      <c r="E126" s="279">
        <v>0</v>
      </c>
      <c r="F126" s="279">
        <v>0</v>
      </c>
      <c r="G126" s="279">
        <f>E126-F126</f>
        <v>0</v>
      </c>
    </row>
    <row r="127" spans="1:7" s="275" customFormat="1" ht="9" customHeight="1">
      <c r="A127" s="280" t="s">
        <v>389</v>
      </c>
      <c r="B127" s="281">
        <f aca="true" t="shared" si="25" ref="B127:G127">SUM(B123:B126)</f>
        <v>281325</v>
      </c>
      <c r="C127" s="281">
        <f t="shared" si="25"/>
        <v>30407</v>
      </c>
      <c r="D127" s="281">
        <f t="shared" si="25"/>
        <v>250918</v>
      </c>
      <c r="E127" s="281">
        <f t="shared" si="25"/>
        <v>126548</v>
      </c>
      <c r="F127" s="281">
        <f t="shared" si="25"/>
        <v>76847</v>
      </c>
      <c r="G127" s="281">
        <f t="shared" si="25"/>
        <v>49701</v>
      </c>
    </row>
    <row r="128" ht="9" customHeight="1"/>
    <row r="129" ht="9" customHeight="1"/>
  </sheetData>
  <sheetProtection/>
  <mergeCells count="3">
    <mergeCell ref="E121:G121"/>
    <mergeCell ref="A121:A122"/>
    <mergeCell ref="B121:D12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9" r:id="rId1"/>
  <rowBreaks count="1" manualBreakCount="1">
    <brk id="73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92"/>
  <sheetViews>
    <sheetView showGridLines="0" view="pageBreakPreview" zoomScale="124" zoomScaleSheetLayoutView="124" zoomScalePageLayoutView="0" workbookViewId="0" topLeftCell="A58">
      <selection activeCell="K31" sqref="K31"/>
    </sheetView>
  </sheetViews>
  <sheetFormatPr defaultColWidth="9.28125" defaultRowHeight="12.75" outlineLevelRow="1"/>
  <cols>
    <col min="1" max="1" width="41.28125" style="275" customWidth="1"/>
    <col min="2" max="3" width="13.00390625" style="275" customWidth="1"/>
    <col min="4" max="4" width="13.00390625" style="275" hidden="1" customWidth="1"/>
    <col min="5" max="5" width="14.421875" style="275" hidden="1" customWidth="1"/>
    <col min="6" max="6" width="13.00390625" style="275" hidden="1" customWidth="1"/>
    <col min="7" max="7" width="20.7109375" style="275" customWidth="1"/>
    <col min="8" max="8" width="11.57421875" style="275" hidden="1" customWidth="1"/>
    <col min="9" max="9" width="11.28125" style="275" customWidth="1"/>
    <col min="10" max="16384" width="9.28125" style="275" customWidth="1"/>
  </cols>
  <sheetData>
    <row r="1" ht="9.75">
      <c r="A1" s="282"/>
    </row>
    <row r="2" s="478" customFormat="1" ht="12.75">
      <c r="A2" s="468" t="s">
        <v>649</v>
      </c>
    </row>
    <row r="3" s="284" customFormat="1" ht="9.75">
      <c r="A3" s="283"/>
    </row>
    <row r="4" s="284" customFormat="1" ht="9.75">
      <c r="A4" s="71" t="s">
        <v>782</v>
      </c>
    </row>
    <row r="5" s="284" customFormat="1" ht="9.75">
      <c r="A5" s="283"/>
    </row>
    <row r="6" spans="1:9" s="287" customFormat="1" ht="30" outlineLevel="1">
      <c r="A6" s="224" t="s">
        <v>381</v>
      </c>
      <c r="B6" s="150" t="s">
        <v>458</v>
      </c>
      <c r="C6" s="95" t="s">
        <v>812</v>
      </c>
      <c r="D6" s="150" t="s">
        <v>459</v>
      </c>
      <c r="E6" s="95" t="s">
        <v>460</v>
      </c>
      <c r="F6" s="286" t="s">
        <v>66</v>
      </c>
      <c r="G6" s="570" t="s">
        <v>674</v>
      </c>
      <c r="H6" s="150" t="s">
        <v>461</v>
      </c>
      <c r="I6" s="286" t="s">
        <v>431</v>
      </c>
    </row>
    <row r="7" spans="1:9" s="284" customFormat="1" ht="9.75" outlineLevel="1">
      <c r="A7" s="595" t="s">
        <v>771</v>
      </c>
      <c r="B7" s="205">
        <f>B60</f>
        <v>1055259</v>
      </c>
      <c r="C7" s="205">
        <v>632655</v>
      </c>
      <c r="D7" s="205">
        <f>D60</f>
        <v>0</v>
      </c>
      <c r="E7" s="205">
        <f>E60</f>
        <v>0</v>
      </c>
      <c r="F7" s="205">
        <f>F60</f>
        <v>0</v>
      </c>
      <c r="G7" s="205">
        <f>G60</f>
        <v>7931619</v>
      </c>
      <c r="H7" s="205">
        <f>H60</f>
        <v>0</v>
      </c>
      <c r="I7" s="288">
        <f>SUM(B7:H7)</f>
        <v>9619533</v>
      </c>
    </row>
    <row r="8" spans="1:9" s="291" customFormat="1" ht="9.75" outlineLevel="1">
      <c r="A8" s="289" t="s">
        <v>270</v>
      </c>
      <c r="B8" s="269">
        <f aca="true" t="shared" si="0" ref="B8:H8">SUM(B9:B12)</f>
        <v>1129161</v>
      </c>
      <c r="C8" s="290">
        <f t="shared" si="0"/>
        <v>922240</v>
      </c>
      <c r="D8" s="290">
        <f t="shared" si="0"/>
        <v>0</v>
      </c>
      <c r="E8" s="290">
        <f t="shared" si="0"/>
        <v>0</v>
      </c>
      <c r="F8" s="290">
        <f t="shared" si="0"/>
        <v>0</v>
      </c>
      <c r="G8" s="269">
        <f t="shared" si="0"/>
        <v>20833</v>
      </c>
      <c r="H8" s="290">
        <f t="shared" si="0"/>
        <v>0</v>
      </c>
      <c r="I8" s="290">
        <f aca="true" t="shared" si="1" ref="I8:I42">SUM(B8:H8)</f>
        <v>2072234</v>
      </c>
    </row>
    <row r="9" spans="1:9" s="284" customFormat="1" ht="9.75" outlineLevel="1">
      <c r="A9" s="292" t="s">
        <v>555</v>
      </c>
      <c r="B9" s="199">
        <v>0</v>
      </c>
      <c r="C9" s="293">
        <v>0</v>
      </c>
      <c r="D9" s="293">
        <v>0</v>
      </c>
      <c r="E9" s="293">
        <v>0</v>
      </c>
      <c r="F9" s="293">
        <v>0</v>
      </c>
      <c r="G9" s="199">
        <v>0</v>
      </c>
      <c r="H9" s="293">
        <v>0</v>
      </c>
      <c r="I9" s="293">
        <f t="shared" si="1"/>
        <v>0</v>
      </c>
    </row>
    <row r="10" spans="1:9" s="284" customFormat="1" ht="9.75" outlineLevel="1">
      <c r="A10" s="505" t="s">
        <v>650</v>
      </c>
      <c r="B10" s="199">
        <v>1112097</v>
      </c>
      <c r="C10" s="293">
        <v>922240</v>
      </c>
      <c r="D10" s="293">
        <v>0</v>
      </c>
      <c r="E10" s="293">
        <v>0</v>
      </c>
      <c r="F10" s="293">
        <v>0</v>
      </c>
      <c r="G10" s="199">
        <v>0</v>
      </c>
      <c r="H10" s="293">
        <v>0</v>
      </c>
      <c r="I10" s="293">
        <f t="shared" si="1"/>
        <v>2034337</v>
      </c>
    </row>
    <row r="11" spans="1:9" s="284" customFormat="1" ht="9.75" hidden="1" outlineLevel="1">
      <c r="A11" s="292" t="s">
        <v>16</v>
      </c>
      <c r="B11" s="199"/>
      <c r="C11" s="293"/>
      <c r="D11" s="293"/>
      <c r="E11" s="293"/>
      <c r="F11" s="293"/>
      <c r="G11" s="199"/>
      <c r="H11" s="293"/>
      <c r="I11" s="293">
        <f t="shared" si="1"/>
        <v>0</v>
      </c>
    </row>
    <row r="12" spans="1:9" s="284" customFormat="1" ht="9.75" outlineLevel="1">
      <c r="A12" s="292" t="s">
        <v>43</v>
      </c>
      <c r="B12" s="199">
        <v>17064</v>
      </c>
      <c r="C12" s="293">
        <v>0</v>
      </c>
      <c r="D12" s="293"/>
      <c r="E12" s="293"/>
      <c r="F12" s="293"/>
      <c r="G12" s="199">
        <v>20833</v>
      </c>
      <c r="H12" s="293"/>
      <c r="I12" s="293">
        <f t="shared" si="1"/>
        <v>37897</v>
      </c>
    </row>
    <row r="13" spans="1:9" s="291" customFormat="1" ht="9.75" outlineLevel="1">
      <c r="A13" s="289" t="s">
        <v>269</v>
      </c>
      <c r="B13" s="269">
        <f aca="true" t="shared" si="2" ref="B13:H13">SUM(B14:B17)</f>
        <v>90706</v>
      </c>
      <c r="C13" s="290">
        <f t="shared" si="2"/>
        <v>1112097</v>
      </c>
      <c r="D13" s="290">
        <f t="shared" si="2"/>
        <v>0</v>
      </c>
      <c r="E13" s="290">
        <f t="shared" si="2"/>
        <v>0</v>
      </c>
      <c r="F13" s="290">
        <f t="shared" si="2"/>
        <v>0</v>
      </c>
      <c r="G13" s="269">
        <f t="shared" si="2"/>
        <v>112500</v>
      </c>
      <c r="H13" s="290">
        <f t="shared" si="2"/>
        <v>0</v>
      </c>
      <c r="I13" s="290">
        <f t="shared" si="1"/>
        <v>1315303</v>
      </c>
    </row>
    <row r="14" spans="1:9" s="284" customFormat="1" ht="9.75" outlineLevel="1">
      <c r="A14" s="364" t="s">
        <v>815</v>
      </c>
      <c r="B14" s="199">
        <v>0</v>
      </c>
      <c r="C14" s="293">
        <v>1112097</v>
      </c>
      <c r="D14" s="293"/>
      <c r="E14" s="293"/>
      <c r="F14" s="293"/>
      <c r="G14" s="199">
        <v>0</v>
      </c>
      <c r="H14" s="293"/>
      <c r="I14" s="293">
        <f t="shared" si="1"/>
        <v>1112097</v>
      </c>
    </row>
    <row r="15" spans="1:9" s="284" customFormat="1" ht="9.75" outlineLevel="1">
      <c r="A15" s="603" t="s">
        <v>816</v>
      </c>
      <c r="B15" s="199">
        <f>107770-17064</f>
        <v>90706</v>
      </c>
      <c r="C15" s="293">
        <v>0</v>
      </c>
      <c r="D15" s="293">
        <v>0</v>
      </c>
      <c r="E15" s="293">
        <v>0</v>
      </c>
      <c r="F15" s="293">
        <v>0</v>
      </c>
      <c r="G15" s="199">
        <f>250000-150000</f>
        <v>100000</v>
      </c>
      <c r="H15" s="293">
        <v>0</v>
      </c>
      <c r="I15" s="293">
        <f t="shared" si="1"/>
        <v>190706</v>
      </c>
    </row>
    <row r="16" spans="1:9" s="284" customFormat="1" ht="9.75" hidden="1" outlineLevel="1">
      <c r="A16" s="604" t="s">
        <v>814</v>
      </c>
      <c r="B16" s="199"/>
      <c r="C16" s="293">
        <v>0</v>
      </c>
      <c r="D16" s="293"/>
      <c r="E16" s="293"/>
      <c r="F16" s="293"/>
      <c r="G16" s="199"/>
      <c r="H16" s="293"/>
      <c r="I16" s="293">
        <f t="shared" si="1"/>
        <v>0</v>
      </c>
    </row>
    <row r="17" spans="1:9" s="284" customFormat="1" ht="9.75" outlineLevel="1">
      <c r="A17" s="292" t="s">
        <v>43</v>
      </c>
      <c r="B17" s="199">
        <v>0</v>
      </c>
      <c r="C17" s="293">
        <v>0</v>
      </c>
      <c r="D17" s="293"/>
      <c r="E17" s="293"/>
      <c r="F17" s="293"/>
      <c r="G17" s="199">
        <v>12500</v>
      </c>
      <c r="H17" s="293"/>
      <c r="I17" s="293">
        <f t="shared" si="1"/>
        <v>12500</v>
      </c>
    </row>
    <row r="18" spans="1:9" s="284" customFormat="1" ht="10.5" outlineLevel="1" thickBot="1">
      <c r="A18" s="129" t="s">
        <v>772</v>
      </c>
      <c r="B18" s="206">
        <f aca="true" t="shared" si="3" ref="B18:H18">B7+B8-B13</f>
        <v>2093714</v>
      </c>
      <c r="C18" s="294">
        <f t="shared" si="3"/>
        <v>442798</v>
      </c>
      <c r="D18" s="294">
        <f t="shared" si="3"/>
        <v>0</v>
      </c>
      <c r="E18" s="294">
        <f t="shared" si="3"/>
        <v>0</v>
      </c>
      <c r="F18" s="294">
        <f t="shared" si="3"/>
        <v>0</v>
      </c>
      <c r="G18" s="206">
        <f t="shared" si="3"/>
        <v>7839952</v>
      </c>
      <c r="H18" s="294">
        <f t="shared" si="3"/>
        <v>0</v>
      </c>
      <c r="I18" s="294">
        <f t="shared" si="1"/>
        <v>10376464</v>
      </c>
    </row>
    <row r="19" spans="1:9" s="284" customFormat="1" ht="10.5" outlineLevel="1" thickTop="1">
      <c r="A19" s="129" t="s">
        <v>845</v>
      </c>
      <c r="B19" s="465">
        <v>0</v>
      </c>
      <c r="C19" s="611">
        <v>0</v>
      </c>
      <c r="D19" s="611"/>
      <c r="E19" s="611"/>
      <c r="F19" s="611"/>
      <c r="G19" s="465">
        <v>0</v>
      </c>
      <c r="H19" s="611"/>
      <c r="I19" s="612">
        <f t="shared" si="1"/>
        <v>0</v>
      </c>
    </row>
    <row r="20" spans="1:9" s="284" customFormat="1" ht="9.75" outlineLevel="1">
      <c r="A20" s="129" t="s">
        <v>846</v>
      </c>
      <c r="B20" s="465">
        <v>17064</v>
      </c>
      <c r="C20" s="611">
        <v>0</v>
      </c>
      <c r="D20" s="611"/>
      <c r="E20" s="611"/>
      <c r="F20" s="611"/>
      <c r="G20" s="465">
        <v>150000</v>
      </c>
      <c r="H20" s="611"/>
      <c r="I20" s="295">
        <f t="shared" si="1"/>
        <v>167064</v>
      </c>
    </row>
    <row r="21" spans="1:9" s="284" customFormat="1" ht="9.75" outlineLevel="1">
      <c r="A21" s="129" t="s">
        <v>506</v>
      </c>
      <c r="B21" s="465">
        <v>0</v>
      </c>
      <c r="C21" s="611">
        <v>0</v>
      </c>
      <c r="D21" s="611"/>
      <c r="E21" s="611"/>
      <c r="F21" s="611"/>
      <c r="G21" s="465">
        <v>0</v>
      </c>
      <c r="H21" s="611"/>
      <c r="I21" s="295">
        <f t="shared" si="1"/>
        <v>0</v>
      </c>
    </row>
    <row r="22" spans="1:9" s="284" customFormat="1" ht="10.5" outlineLevel="1" thickBot="1">
      <c r="A22" s="129" t="s">
        <v>847</v>
      </c>
      <c r="B22" s="206">
        <f>B19+B20-B21</f>
        <v>17064</v>
      </c>
      <c r="C22" s="206">
        <f aca="true" t="shared" si="4" ref="C22:I22">C19+C20-C21</f>
        <v>0</v>
      </c>
      <c r="D22" s="206">
        <f t="shared" si="4"/>
        <v>0</v>
      </c>
      <c r="E22" s="206">
        <f t="shared" si="4"/>
        <v>0</v>
      </c>
      <c r="F22" s="206">
        <f t="shared" si="4"/>
        <v>0</v>
      </c>
      <c r="G22" s="206">
        <f t="shared" si="4"/>
        <v>150000</v>
      </c>
      <c r="H22" s="206">
        <f t="shared" si="4"/>
        <v>0</v>
      </c>
      <c r="I22" s="206">
        <f t="shared" si="4"/>
        <v>167064</v>
      </c>
    </row>
    <row r="23" spans="1:9" s="284" customFormat="1" ht="9.75" hidden="1" outlineLevel="1">
      <c r="A23" s="129"/>
      <c r="B23" s="613"/>
      <c r="C23" s="614"/>
      <c r="D23" s="614"/>
      <c r="E23" s="614"/>
      <c r="F23" s="614"/>
      <c r="G23" s="613"/>
      <c r="H23" s="611"/>
      <c r="I23" s="611"/>
    </row>
    <row r="24" spans="1:9" s="284" customFormat="1" ht="9.75" hidden="1" outlineLevel="1">
      <c r="A24" s="129"/>
      <c r="B24" s="465"/>
      <c r="C24" s="611"/>
      <c r="D24" s="611"/>
      <c r="E24" s="611"/>
      <c r="F24" s="611"/>
      <c r="G24" s="465"/>
      <c r="H24" s="611"/>
      <c r="I24" s="611"/>
    </row>
    <row r="25" spans="1:9" s="284" customFormat="1" ht="10.5" outlineLevel="1" thickTop="1">
      <c r="A25" s="77" t="s">
        <v>773</v>
      </c>
      <c r="B25" s="123">
        <f>B71</f>
        <v>63427</v>
      </c>
      <c r="C25" s="123">
        <f aca="true" t="shared" si="5" ref="C25:H25">C71</f>
        <v>0</v>
      </c>
      <c r="D25" s="123">
        <f t="shared" si="5"/>
        <v>0</v>
      </c>
      <c r="E25" s="123">
        <f t="shared" si="5"/>
        <v>0</v>
      </c>
      <c r="F25" s="123">
        <f t="shared" si="5"/>
        <v>0</v>
      </c>
      <c r="G25" s="123">
        <f t="shared" si="5"/>
        <v>1511394</v>
      </c>
      <c r="H25" s="123">
        <f t="shared" si="5"/>
        <v>0</v>
      </c>
      <c r="I25" s="288">
        <f t="shared" si="1"/>
        <v>1574821</v>
      </c>
    </row>
    <row r="26" spans="1:9" s="291" customFormat="1" ht="9.75" outlineLevel="1">
      <c r="A26" s="289" t="s">
        <v>270</v>
      </c>
      <c r="B26" s="269">
        <f aca="true" t="shared" si="6" ref="B26:H26">SUM(B27:B29)</f>
        <v>283957</v>
      </c>
      <c r="C26" s="290">
        <f t="shared" si="6"/>
        <v>0</v>
      </c>
      <c r="D26" s="290">
        <f t="shared" si="6"/>
        <v>0</v>
      </c>
      <c r="E26" s="290">
        <f t="shared" si="6"/>
        <v>0</v>
      </c>
      <c r="F26" s="290">
        <f t="shared" si="6"/>
        <v>0</v>
      </c>
      <c r="G26" s="269">
        <f t="shared" si="6"/>
        <v>274026</v>
      </c>
      <c r="H26" s="290">
        <f t="shared" si="6"/>
        <v>0</v>
      </c>
      <c r="I26" s="290">
        <f t="shared" si="1"/>
        <v>557983</v>
      </c>
    </row>
    <row r="27" spans="1:9" s="284" customFormat="1" ht="9.75" outlineLevel="1">
      <c r="A27" s="292" t="s">
        <v>519</v>
      </c>
      <c r="B27" s="199">
        <v>283957</v>
      </c>
      <c r="C27" s="293">
        <v>0</v>
      </c>
      <c r="D27" s="293">
        <v>0</v>
      </c>
      <c r="E27" s="293">
        <v>0</v>
      </c>
      <c r="F27" s="293">
        <v>0</v>
      </c>
      <c r="G27" s="199">
        <f>557983-283957</f>
        <v>274026</v>
      </c>
      <c r="H27" s="293">
        <v>0</v>
      </c>
      <c r="I27" s="293">
        <f t="shared" si="1"/>
        <v>557983</v>
      </c>
    </row>
    <row r="28" spans="1:9" s="284" customFormat="1" ht="9.75" hidden="1" outlineLevel="1">
      <c r="A28" s="292" t="s">
        <v>515</v>
      </c>
      <c r="B28" s="293"/>
      <c r="C28" s="293"/>
      <c r="D28" s="293"/>
      <c r="E28" s="293"/>
      <c r="F28" s="293"/>
      <c r="G28" s="199"/>
      <c r="H28" s="293"/>
      <c r="I28" s="293">
        <f t="shared" si="1"/>
        <v>0</v>
      </c>
    </row>
    <row r="29" spans="1:9" s="284" customFormat="1" ht="9.75" hidden="1" outlineLevel="1">
      <c r="A29" s="292" t="s">
        <v>43</v>
      </c>
      <c r="B29" s="293"/>
      <c r="C29" s="293"/>
      <c r="D29" s="293"/>
      <c r="E29" s="293"/>
      <c r="F29" s="293"/>
      <c r="G29" s="199"/>
      <c r="H29" s="293"/>
      <c r="I29" s="293">
        <f t="shared" si="1"/>
        <v>0</v>
      </c>
    </row>
    <row r="30" spans="1:9" s="291" customFormat="1" ht="9.75" outlineLevel="1">
      <c r="A30" s="289" t="s">
        <v>269</v>
      </c>
      <c r="B30" s="290">
        <f aca="true" t="shared" si="7" ref="B30:H30">SUM(B31:B32)</f>
        <v>73643</v>
      </c>
      <c r="C30" s="290">
        <f t="shared" si="7"/>
        <v>0</v>
      </c>
      <c r="D30" s="290">
        <f t="shared" si="7"/>
        <v>0</v>
      </c>
      <c r="E30" s="290">
        <f t="shared" si="7"/>
        <v>0</v>
      </c>
      <c r="F30" s="290">
        <f t="shared" si="7"/>
        <v>0</v>
      </c>
      <c r="G30" s="269">
        <f t="shared" si="7"/>
        <v>91666</v>
      </c>
      <c r="H30" s="290">
        <f t="shared" si="7"/>
        <v>0</v>
      </c>
      <c r="I30" s="290">
        <f t="shared" si="1"/>
        <v>165309</v>
      </c>
    </row>
    <row r="31" spans="1:9" s="284" customFormat="1" ht="9.75" outlineLevel="1">
      <c r="A31" s="292" t="s">
        <v>517</v>
      </c>
      <c r="B31" s="293">
        <v>73643</v>
      </c>
      <c r="C31" s="293">
        <v>0</v>
      </c>
      <c r="D31" s="293">
        <v>0</v>
      </c>
      <c r="E31" s="293">
        <v>0</v>
      </c>
      <c r="F31" s="293">
        <v>0</v>
      </c>
      <c r="G31" s="199">
        <v>91666</v>
      </c>
      <c r="H31" s="293">
        <v>0</v>
      </c>
      <c r="I31" s="293">
        <f t="shared" si="1"/>
        <v>165309</v>
      </c>
    </row>
    <row r="32" spans="1:9" s="284" customFormat="1" ht="9.75" hidden="1" outlineLevel="1">
      <c r="A32" s="292" t="s">
        <v>43</v>
      </c>
      <c r="B32" s="293"/>
      <c r="C32" s="293"/>
      <c r="D32" s="293"/>
      <c r="E32" s="293"/>
      <c r="F32" s="293"/>
      <c r="G32" s="293"/>
      <c r="H32" s="293"/>
      <c r="I32" s="293">
        <f t="shared" si="1"/>
        <v>0</v>
      </c>
    </row>
    <row r="33" spans="1:9" s="284" customFormat="1" ht="10.5" outlineLevel="1" thickBot="1">
      <c r="A33" s="77" t="s">
        <v>774</v>
      </c>
      <c r="B33" s="294">
        <f aca="true" t="shared" si="8" ref="B33:H33">B25+B26-B30</f>
        <v>273741</v>
      </c>
      <c r="C33" s="294">
        <f t="shared" si="8"/>
        <v>0</v>
      </c>
      <c r="D33" s="294">
        <f t="shared" si="8"/>
        <v>0</v>
      </c>
      <c r="E33" s="294">
        <f t="shared" si="8"/>
        <v>0</v>
      </c>
      <c r="F33" s="294">
        <f t="shared" si="8"/>
        <v>0</v>
      </c>
      <c r="G33" s="294">
        <f t="shared" si="8"/>
        <v>1693754</v>
      </c>
      <c r="H33" s="294">
        <f t="shared" si="8"/>
        <v>0</v>
      </c>
      <c r="I33" s="294">
        <f t="shared" si="1"/>
        <v>1967495</v>
      </c>
    </row>
    <row r="34" spans="1:9" s="284" customFormat="1" ht="10.5" hidden="1" outlineLevel="1" thickTop="1">
      <c r="A34" s="77" t="str">
        <f>CONCATENATE("Odpisy aktualizujące na dzień"," ",'Dane podstawowe'!$B$8)</f>
        <v>Odpisy aktualizujące na dzień 43101</v>
      </c>
      <c r="B34" s="288">
        <f aca="true" t="shared" si="9" ref="B34:G34">B72</f>
        <v>0</v>
      </c>
      <c r="C34" s="288">
        <f t="shared" si="9"/>
        <v>0</v>
      </c>
      <c r="D34" s="288">
        <f t="shared" si="9"/>
        <v>0</v>
      </c>
      <c r="E34" s="288">
        <f t="shared" si="9"/>
        <v>0</v>
      </c>
      <c r="F34" s="288">
        <f t="shared" si="9"/>
        <v>0</v>
      </c>
      <c r="G34" s="288">
        <f t="shared" si="9"/>
        <v>0</v>
      </c>
      <c r="H34" s="288">
        <f>H72</f>
        <v>0</v>
      </c>
      <c r="I34" s="288">
        <f t="shared" si="1"/>
        <v>0</v>
      </c>
    </row>
    <row r="35" spans="1:9" s="291" customFormat="1" ht="9.75" hidden="1" outlineLevel="1">
      <c r="A35" s="271" t="s">
        <v>270</v>
      </c>
      <c r="B35" s="290">
        <f aca="true" t="shared" si="10" ref="B35:G35">SUM(B36:B37)</f>
        <v>0</v>
      </c>
      <c r="C35" s="290">
        <f t="shared" si="10"/>
        <v>0</v>
      </c>
      <c r="D35" s="290">
        <f t="shared" si="10"/>
        <v>0</v>
      </c>
      <c r="E35" s="290">
        <f t="shared" si="10"/>
        <v>0</v>
      </c>
      <c r="F35" s="290">
        <f t="shared" si="10"/>
        <v>0</v>
      </c>
      <c r="G35" s="290">
        <f t="shared" si="10"/>
        <v>0</v>
      </c>
      <c r="H35" s="290">
        <f>SUM(H36:H37)</f>
        <v>0</v>
      </c>
      <c r="I35" s="290">
        <f t="shared" si="1"/>
        <v>0</v>
      </c>
    </row>
    <row r="36" spans="1:9" s="284" customFormat="1" ht="9.75" hidden="1" outlineLevel="1">
      <c r="A36" s="130" t="s">
        <v>521</v>
      </c>
      <c r="B36" s="293"/>
      <c r="C36" s="293"/>
      <c r="D36" s="293"/>
      <c r="E36" s="293"/>
      <c r="F36" s="293"/>
      <c r="G36" s="293"/>
      <c r="H36" s="293"/>
      <c r="I36" s="293">
        <f t="shared" si="1"/>
        <v>0</v>
      </c>
    </row>
    <row r="37" spans="1:9" s="284" customFormat="1" ht="9.75" hidden="1" outlineLevel="1">
      <c r="A37" s="130" t="s">
        <v>43</v>
      </c>
      <c r="B37" s="293"/>
      <c r="C37" s="293"/>
      <c r="D37" s="293"/>
      <c r="E37" s="293"/>
      <c r="F37" s="293"/>
      <c r="G37" s="293"/>
      <c r="H37" s="293"/>
      <c r="I37" s="293">
        <f t="shared" si="1"/>
        <v>0</v>
      </c>
    </row>
    <row r="38" spans="1:9" s="291" customFormat="1" ht="9.75" hidden="1" outlineLevel="1">
      <c r="A38" s="271" t="s">
        <v>269</v>
      </c>
      <c r="B38" s="290">
        <f aca="true" t="shared" si="11" ref="B38:G38">SUM(B39:B41)</f>
        <v>0</v>
      </c>
      <c r="C38" s="290">
        <f t="shared" si="11"/>
        <v>0</v>
      </c>
      <c r="D38" s="290">
        <f t="shared" si="11"/>
        <v>0</v>
      </c>
      <c r="E38" s="290">
        <f t="shared" si="11"/>
        <v>0</v>
      </c>
      <c r="F38" s="290">
        <f t="shared" si="11"/>
        <v>0</v>
      </c>
      <c r="G38" s="290">
        <f t="shared" si="11"/>
        <v>0</v>
      </c>
      <c r="H38" s="290">
        <f>SUM(H39:H41)</f>
        <v>0</v>
      </c>
      <c r="I38" s="290">
        <f t="shared" si="1"/>
        <v>0</v>
      </c>
    </row>
    <row r="39" spans="1:9" s="284" customFormat="1" ht="9.75" hidden="1" outlineLevel="1">
      <c r="A39" s="130" t="s">
        <v>522</v>
      </c>
      <c r="B39" s="293"/>
      <c r="C39" s="293"/>
      <c r="D39" s="293"/>
      <c r="E39" s="293"/>
      <c r="F39" s="293"/>
      <c r="G39" s="293"/>
      <c r="H39" s="293"/>
      <c r="I39" s="293">
        <f t="shared" si="1"/>
        <v>0</v>
      </c>
    </row>
    <row r="40" spans="1:9" s="284" customFormat="1" ht="9.75" hidden="1" outlineLevel="1">
      <c r="A40" s="130" t="s">
        <v>523</v>
      </c>
      <c r="B40" s="293"/>
      <c r="C40" s="293"/>
      <c r="D40" s="293"/>
      <c r="E40" s="293"/>
      <c r="F40" s="293"/>
      <c r="G40" s="293"/>
      <c r="H40" s="293"/>
      <c r="I40" s="293">
        <f t="shared" si="1"/>
        <v>0</v>
      </c>
    </row>
    <row r="41" spans="1:9" s="284" customFormat="1" ht="9.75" hidden="1" outlineLevel="1">
      <c r="A41" s="130" t="s">
        <v>43</v>
      </c>
      <c r="B41" s="293"/>
      <c r="C41" s="293"/>
      <c r="D41" s="293"/>
      <c r="E41" s="293"/>
      <c r="F41" s="293"/>
      <c r="G41" s="293"/>
      <c r="H41" s="293"/>
      <c r="I41" s="293">
        <f t="shared" si="1"/>
        <v>0</v>
      </c>
    </row>
    <row r="42" spans="1:9" s="284" customFormat="1" ht="10.5" hidden="1" outlineLevel="1" thickBot="1">
      <c r="A42" s="77" t="str">
        <f>CONCATENATE("Odpisy aktualizujące na dzień"," ",'Dane podstawowe'!$B$9)</f>
        <v>Odpisy aktualizujące na dzień 43465</v>
      </c>
      <c r="B42" s="294">
        <f aca="true" t="shared" si="12" ref="B42:H42">B34+B35-B38</f>
        <v>0</v>
      </c>
      <c r="C42" s="294">
        <f t="shared" si="12"/>
        <v>0</v>
      </c>
      <c r="D42" s="294">
        <f t="shared" si="12"/>
        <v>0</v>
      </c>
      <c r="E42" s="294">
        <f t="shared" si="12"/>
        <v>0</v>
      </c>
      <c r="F42" s="294">
        <f t="shared" si="12"/>
        <v>0</v>
      </c>
      <c r="G42" s="294">
        <f t="shared" si="12"/>
        <v>0</v>
      </c>
      <c r="H42" s="294">
        <f t="shared" si="12"/>
        <v>0</v>
      </c>
      <c r="I42" s="294">
        <f t="shared" si="1"/>
        <v>0</v>
      </c>
    </row>
    <row r="43" spans="1:9" s="284" customFormat="1" ht="11.25" outlineLevel="1" thickBot="1" thickTop="1">
      <c r="A43" s="129" t="s">
        <v>775</v>
      </c>
      <c r="B43" s="294">
        <f>B18-B22-B33</f>
        <v>1802909</v>
      </c>
      <c r="C43" s="294">
        <f aca="true" t="shared" si="13" ref="C43:I43">C18-C22-C33</f>
        <v>442798</v>
      </c>
      <c r="D43" s="294">
        <f t="shared" si="13"/>
        <v>0</v>
      </c>
      <c r="E43" s="294">
        <f t="shared" si="13"/>
        <v>0</v>
      </c>
      <c r="F43" s="294">
        <f t="shared" si="13"/>
        <v>0</v>
      </c>
      <c r="G43" s="294">
        <f t="shared" si="13"/>
        <v>5996198</v>
      </c>
      <c r="H43" s="294">
        <f t="shared" si="13"/>
        <v>0</v>
      </c>
      <c r="I43" s="294">
        <f t="shared" si="13"/>
        <v>8241905</v>
      </c>
    </row>
    <row r="44" spans="1:9" s="284" customFormat="1" ht="10.5" outlineLevel="1" thickTop="1">
      <c r="A44" s="296"/>
      <c r="B44" s="297"/>
      <c r="C44" s="297"/>
      <c r="D44" s="297"/>
      <c r="E44" s="297"/>
      <c r="F44" s="297"/>
      <c r="G44" s="297"/>
      <c r="H44" s="297"/>
      <c r="I44" s="381">
        <f>Aktywa!D5-'NOTA 10 -Wartości niematerialne'!I43</f>
        <v>0</v>
      </c>
    </row>
    <row r="45" spans="1:6" s="284" customFormat="1" ht="9.75">
      <c r="A45" s="298"/>
      <c r="B45" s="299"/>
      <c r="C45" s="299"/>
      <c r="D45" s="299"/>
      <c r="E45" s="300"/>
      <c r="F45" s="300"/>
    </row>
    <row r="46" s="284" customFormat="1" ht="9.75">
      <c r="A46" s="71" t="s">
        <v>783</v>
      </c>
    </row>
    <row r="47" s="284" customFormat="1" ht="9.75">
      <c r="A47" s="285"/>
    </row>
    <row r="48" spans="1:9" s="287" customFormat="1" ht="30" outlineLevel="1">
      <c r="A48" s="224" t="s">
        <v>381</v>
      </c>
      <c r="B48" s="150" t="s">
        <v>458</v>
      </c>
      <c r="C48" s="95" t="s">
        <v>812</v>
      </c>
      <c r="D48" s="150" t="s">
        <v>459</v>
      </c>
      <c r="E48" s="95" t="s">
        <v>460</v>
      </c>
      <c r="F48" s="286" t="s">
        <v>66</v>
      </c>
      <c r="G48" s="570" t="s">
        <v>674</v>
      </c>
      <c r="H48" s="150" t="s">
        <v>461</v>
      </c>
      <c r="I48" s="286" t="s">
        <v>431</v>
      </c>
    </row>
    <row r="49" spans="1:9" s="284" customFormat="1" ht="9.75" outlineLevel="1">
      <c r="A49" s="595" t="s">
        <v>777</v>
      </c>
      <c r="B49" s="288">
        <v>164658</v>
      </c>
      <c r="C49" s="288">
        <v>477277</v>
      </c>
      <c r="D49" s="288">
        <v>0</v>
      </c>
      <c r="E49" s="288">
        <v>0</v>
      </c>
      <c r="F49" s="288">
        <v>0</v>
      </c>
      <c r="G49" s="551">
        <v>7680240</v>
      </c>
      <c r="H49" s="288">
        <v>0</v>
      </c>
      <c r="I49" s="288">
        <f>SUM(B49:H49)</f>
        <v>8322175</v>
      </c>
    </row>
    <row r="50" spans="1:9" s="284" customFormat="1" ht="9.75" outlineLevel="1">
      <c r="A50" s="289" t="s">
        <v>270</v>
      </c>
      <c r="B50" s="290">
        <f aca="true" t="shared" si="14" ref="B50:H50">SUM(B51:B54)</f>
        <v>890601</v>
      </c>
      <c r="C50" s="290">
        <f t="shared" si="14"/>
        <v>1045979</v>
      </c>
      <c r="D50" s="290">
        <f t="shared" si="14"/>
        <v>0</v>
      </c>
      <c r="E50" s="290">
        <f t="shared" si="14"/>
        <v>0</v>
      </c>
      <c r="F50" s="290">
        <f t="shared" si="14"/>
        <v>0</v>
      </c>
      <c r="G50" s="269">
        <f>SUM(G51:G54)</f>
        <v>251379</v>
      </c>
      <c r="H50" s="290">
        <f t="shared" si="14"/>
        <v>0</v>
      </c>
      <c r="I50" s="290">
        <f aca="true" t="shared" si="15" ref="I50:I81">SUM(B50:H50)</f>
        <v>2187959</v>
      </c>
    </row>
    <row r="51" spans="1:9" s="284" customFormat="1" ht="9.75" outlineLevel="1">
      <c r="A51" s="292" t="s">
        <v>555</v>
      </c>
      <c r="B51" s="293">
        <v>0</v>
      </c>
      <c r="C51" s="293">
        <v>0</v>
      </c>
      <c r="D51" s="293">
        <v>0</v>
      </c>
      <c r="E51" s="293">
        <v>0</v>
      </c>
      <c r="F51" s="293">
        <v>0</v>
      </c>
      <c r="G51" s="199">
        <v>251379</v>
      </c>
      <c r="H51" s="293">
        <v>0</v>
      </c>
      <c r="I51" s="293">
        <f t="shared" si="15"/>
        <v>251379</v>
      </c>
    </row>
    <row r="52" spans="1:9" s="284" customFormat="1" ht="9.75" outlineLevel="1">
      <c r="A52" s="505" t="s">
        <v>650</v>
      </c>
      <c r="B52" s="293">
        <v>890601</v>
      </c>
      <c r="C52" s="293">
        <v>1045979</v>
      </c>
      <c r="D52" s="293"/>
      <c r="E52" s="293"/>
      <c r="F52" s="293"/>
      <c r="G52" s="199">
        <v>0</v>
      </c>
      <c r="H52" s="293"/>
      <c r="I52" s="293">
        <f t="shared" si="15"/>
        <v>1936580</v>
      </c>
    </row>
    <row r="53" spans="1:9" s="284" customFormat="1" ht="9.75" hidden="1" outlineLevel="1">
      <c r="A53" s="292" t="s">
        <v>16</v>
      </c>
      <c r="B53" s="293"/>
      <c r="C53" s="293"/>
      <c r="D53" s="293"/>
      <c r="E53" s="293"/>
      <c r="F53" s="293"/>
      <c r="G53" s="199"/>
      <c r="H53" s="293"/>
      <c r="I53" s="293">
        <f t="shared" si="15"/>
        <v>0</v>
      </c>
    </row>
    <row r="54" spans="1:9" s="284" customFormat="1" ht="9.75" hidden="1" outlineLevel="1">
      <c r="A54" s="292" t="s">
        <v>43</v>
      </c>
      <c r="B54" s="293"/>
      <c r="C54" s="293"/>
      <c r="D54" s="293"/>
      <c r="E54" s="293"/>
      <c r="F54" s="293"/>
      <c r="G54" s="199"/>
      <c r="H54" s="293"/>
      <c r="I54" s="293">
        <f t="shared" si="15"/>
        <v>0</v>
      </c>
    </row>
    <row r="55" spans="1:9" s="284" customFormat="1" ht="9.75" outlineLevel="1">
      <c r="A55" s="289" t="s">
        <v>269</v>
      </c>
      <c r="B55" s="290">
        <f aca="true" t="shared" si="16" ref="B55:G55">SUM(B56:B59)</f>
        <v>0</v>
      </c>
      <c r="C55" s="290">
        <f t="shared" si="16"/>
        <v>890601</v>
      </c>
      <c r="D55" s="290">
        <f t="shared" si="16"/>
        <v>0</v>
      </c>
      <c r="E55" s="290">
        <f t="shared" si="16"/>
        <v>0</v>
      </c>
      <c r="F55" s="290">
        <f t="shared" si="16"/>
        <v>0</v>
      </c>
      <c r="G55" s="269">
        <f t="shared" si="16"/>
        <v>0</v>
      </c>
      <c r="H55" s="290">
        <f>SUM(H56:H59)</f>
        <v>0</v>
      </c>
      <c r="I55" s="290">
        <f t="shared" si="15"/>
        <v>890601</v>
      </c>
    </row>
    <row r="56" spans="1:9" s="284" customFormat="1" ht="9.75" outlineLevel="1">
      <c r="A56" s="364" t="s">
        <v>815</v>
      </c>
      <c r="B56" s="293">
        <v>0</v>
      </c>
      <c r="C56" s="293">
        <v>890601</v>
      </c>
      <c r="D56" s="293"/>
      <c r="E56" s="293"/>
      <c r="F56" s="293"/>
      <c r="G56" s="199">
        <v>0</v>
      </c>
      <c r="H56" s="293"/>
      <c r="I56" s="293">
        <f t="shared" si="15"/>
        <v>890601</v>
      </c>
    </row>
    <row r="57" spans="1:9" s="284" customFormat="1" ht="9.75" outlineLevel="1">
      <c r="A57" s="603" t="s">
        <v>813</v>
      </c>
      <c r="B57" s="293">
        <v>0</v>
      </c>
      <c r="C57" s="293">
        <v>0</v>
      </c>
      <c r="D57" s="293">
        <v>0</v>
      </c>
      <c r="E57" s="293">
        <v>0</v>
      </c>
      <c r="F57" s="293">
        <v>0</v>
      </c>
      <c r="G57" s="199">
        <v>0</v>
      </c>
      <c r="H57" s="293">
        <v>0</v>
      </c>
      <c r="I57" s="293">
        <f t="shared" si="15"/>
        <v>0</v>
      </c>
    </row>
    <row r="58" spans="1:9" s="284" customFormat="1" ht="9.75" outlineLevel="1">
      <c r="A58" s="604" t="s">
        <v>814</v>
      </c>
      <c r="B58" s="293">
        <v>0</v>
      </c>
      <c r="C58" s="293">
        <v>0</v>
      </c>
      <c r="D58" s="293"/>
      <c r="E58" s="293"/>
      <c r="F58" s="293"/>
      <c r="G58" s="199">
        <v>0</v>
      </c>
      <c r="H58" s="293"/>
      <c r="I58" s="293">
        <f t="shared" si="15"/>
        <v>0</v>
      </c>
    </row>
    <row r="59" spans="1:9" s="284" customFormat="1" ht="9.75" hidden="1" outlineLevel="1">
      <c r="A59" s="292" t="s">
        <v>43</v>
      </c>
      <c r="B59" s="293"/>
      <c r="C59" s="293"/>
      <c r="D59" s="293"/>
      <c r="E59" s="293"/>
      <c r="F59" s="293"/>
      <c r="G59" s="199"/>
      <c r="H59" s="293"/>
      <c r="I59" s="293">
        <f t="shared" si="15"/>
        <v>0</v>
      </c>
    </row>
    <row r="60" spans="1:9" s="284" customFormat="1" ht="10.5" outlineLevel="1" thickBot="1">
      <c r="A60" s="129" t="s">
        <v>778</v>
      </c>
      <c r="B60" s="294">
        <f aca="true" t="shared" si="17" ref="B60:H60">B49+B50-B55</f>
        <v>1055259</v>
      </c>
      <c r="C60" s="294">
        <f t="shared" si="17"/>
        <v>632655</v>
      </c>
      <c r="D60" s="294">
        <f t="shared" si="17"/>
        <v>0</v>
      </c>
      <c r="E60" s="294">
        <f t="shared" si="17"/>
        <v>0</v>
      </c>
      <c r="F60" s="294">
        <f t="shared" si="17"/>
        <v>0</v>
      </c>
      <c r="G60" s="206">
        <f t="shared" si="17"/>
        <v>7931619</v>
      </c>
      <c r="H60" s="294">
        <f t="shared" si="17"/>
        <v>0</v>
      </c>
      <c r="I60" s="294">
        <f t="shared" si="15"/>
        <v>9619533</v>
      </c>
    </row>
    <row r="61" spans="1:9" s="284" customFormat="1" ht="10.5" outlineLevel="1" thickTop="1">
      <c r="A61" s="77" t="s">
        <v>779</v>
      </c>
      <c r="B61" s="288">
        <v>30535</v>
      </c>
      <c r="C61" s="288">
        <v>0</v>
      </c>
      <c r="D61" s="288">
        <v>0</v>
      </c>
      <c r="E61" s="288">
        <v>0</v>
      </c>
      <c r="F61" s="288">
        <v>0</v>
      </c>
      <c r="G61" s="123">
        <v>1250819</v>
      </c>
      <c r="H61" s="288">
        <v>0</v>
      </c>
      <c r="I61" s="288">
        <f t="shared" si="15"/>
        <v>1281354</v>
      </c>
    </row>
    <row r="62" spans="1:9" s="284" customFormat="1" ht="9.75" outlineLevel="1">
      <c r="A62" s="289" t="s">
        <v>270</v>
      </c>
      <c r="B62" s="290">
        <f aca="true" t="shared" si="18" ref="B62:H62">SUM(B63:B65)</f>
        <v>32892</v>
      </c>
      <c r="C62" s="290">
        <f t="shared" si="18"/>
        <v>0</v>
      </c>
      <c r="D62" s="290">
        <f t="shared" si="18"/>
        <v>0</v>
      </c>
      <c r="E62" s="290">
        <f t="shared" si="18"/>
        <v>0</v>
      </c>
      <c r="F62" s="290">
        <f t="shared" si="18"/>
        <v>0</v>
      </c>
      <c r="G62" s="269">
        <f t="shared" si="18"/>
        <v>260575</v>
      </c>
      <c r="H62" s="290">
        <f t="shared" si="18"/>
        <v>0</v>
      </c>
      <c r="I62" s="290">
        <f t="shared" si="15"/>
        <v>293467</v>
      </c>
    </row>
    <row r="63" spans="1:9" s="284" customFormat="1" ht="9.75" outlineLevel="1">
      <c r="A63" s="292" t="s">
        <v>519</v>
      </c>
      <c r="B63" s="293">
        <v>32892</v>
      </c>
      <c r="C63" s="293">
        <v>0</v>
      </c>
      <c r="D63" s="293">
        <v>0</v>
      </c>
      <c r="E63" s="293">
        <v>0</v>
      </c>
      <c r="F63" s="293">
        <v>0</v>
      </c>
      <c r="G63" s="199">
        <v>260575</v>
      </c>
      <c r="H63" s="293">
        <v>0</v>
      </c>
      <c r="I63" s="293">
        <f t="shared" si="15"/>
        <v>293467</v>
      </c>
    </row>
    <row r="64" spans="1:9" s="284" customFormat="1" ht="9.75" hidden="1" outlineLevel="1">
      <c r="A64" s="292" t="s">
        <v>515</v>
      </c>
      <c r="B64" s="293"/>
      <c r="C64" s="293"/>
      <c r="D64" s="293"/>
      <c r="E64" s="293"/>
      <c r="F64" s="293"/>
      <c r="G64" s="199"/>
      <c r="H64" s="293"/>
      <c r="I64" s="293">
        <f t="shared" si="15"/>
        <v>0</v>
      </c>
    </row>
    <row r="65" spans="1:9" s="284" customFormat="1" ht="9.75" hidden="1" outlineLevel="1">
      <c r="A65" s="292" t="s">
        <v>43</v>
      </c>
      <c r="B65" s="293"/>
      <c r="C65" s="293"/>
      <c r="D65" s="293"/>
      <c r="E65" s="293"/>
      <c r="F65" s="293"/>
      <c r="G65" s="199"/>
      <c r="H65" s="293"/>
      <c r="I65" s="293">
        <f t="shared" si="15"/>
        <v>0</v>
      </c>
    </row>
    <row r="66" spans="1:9" s="284" customFormat="1" ht="9.75" outlineLevel="1">
      <c r="A66" s="289" t="s">
        <v>269</v>
      </c>
      <c r="B66" s="290">
        <f aca="true" t="shared" si="19" ref="B66:H66">SUM(B67:B70)</f>
        <v>0</v>
      </c>
      <c r="C66" s="290">
        <f t="shared" si="19"/>
        <v>0</v>
      </c>
      <c r="D66" s="290">
        <f t="shared" si="19"/>
        <v>0</v>
      </c>
      <c r="E66" s="290">
        <f t="shared" si="19"/>
        <v>0</v>
      </c>
      <c r="F66" s="290">
        <f t="shared" si="19"/>
        <v>0</v>
      </c>
      <c r="G66" s="269">
        <f t="shared" si="19"/>
        <v>0</v>
      </c>
      <c r="H66" s="290">
        <f t="shared" si="19"/>
        <v>0</v>
      </c>
      <c r="I66" s="290">
        <f t="shared" si="15"/>
        <v>0</v>
      </c>
    </row>
    <row r="67" spans="1:9" s="284" customFormat="1" ht="9.75" outlineLevel="1">
      <c r="A67" s="292" t="s">
        <v>517</v>
      </c>
      <c r="B67" s="293">
        <v>0</v>
      </c>
      <c r="C67" s="293">
        <v>0</v>
      </c>
      <c r="D67" s="293">
        <v>0</v>
      </c>
      <c r="E67" s="293">
        <v>0</v>
      </c>
      <c r="F67" s="293">
        <v>0</v>
      </c>
      <c r="G67" s="199">
        <v>0</v>
      </c>
      <c r="H67" s="293">
        <v>0</v>
      </c>
      <c r="I67" s="293">
        <f t="shared" si="15"/>
        <v>0</v>
      </c>
    </row>
    <row r="68" spans="1:9" s="284" customFormat="1" ht="9.75" hidden="1" outlineLevel="1">
      <c r="A68" s="292" t="s">
        <v>520</v>
      </c>
      <c r="B68" s="293"/>
      <c r="C68" s="293"/>
      <c r="D68" s="293"/>
      <c r="E68" s="293"/>
      <c r="F68" s="293"/>
      <c r="G68" s="199"/>
      <c r="H68" s="293"/>
      <c r="I68" s="293">
        <f t="shared" si="15"/>
        <v>0</v>
      </c>
    </row>
    <row r="69" spans="1:9" s="284" customFormat="1" ht="9.75" hidden="1" outlineLevel="1">
      <c r="A69" s="292" t="s">
        <v>515</v>
      </c>
      <c r="B69" s="293"/>
      <c r="C69" s="293"/>
      <c r="D69" s="293"/>
      <c r="E69" s="293"/>
      <c r="F69" s="293"/>
      <c r="G69" s="199"/>
      <c r="H69" s="293"/>
      <c r="I69" s="293">
        <f t="shared" si="15"/>
        <v>0</v>
      </c>
    </row>
    <row r="70" spans="1:9" s="284" customFormat="1" ht="9.75" hidden="1" outlineLevel="1">
      <c r="A70" s="292" t="s">
        <v>43</v>
      </c>
      <c r="B70" s="293"/>
      <c r="C70" s="293"/>
      <c r="D70" s="293"/>
      <c r="E70" s="293"/>
      <c r="F70" s="293"/>
      <c r="G70" s="199"/>
      <c r="H70" s="293"/>
      <c r="I70" s="293">
        <f t="shared" si="15"/>
        <v>0</v>
      </c>
    </row>
    <row r="71" spans="1:9" s="284" customFormat="1" ht="10.5" outlineLevel="1" thickBot="1">
      <c r="A71" s="77" t="s">
        <v>780</v>
      </c>
      <c r="B71" s="294">
        <f aca="true" t="shared" si="20" ref="B71:G71">B61+B62-B66</f>
        <v>63427</v>
      </c>
      <c r="C71" s="294">
        <f t="shared" si="20"/>
        <v>0</v>
      </c>
      <c r="D71" s="294">
        <f t="shared" si="20"/>
        <v>0</v>
      </c>
      <c r="E71" s="294">
        <f t="shared" si="20"/>
        <v>0</v>
      </c>
      <c r="F71" s="294">
        <f t="shared" si="20"/>
        <v>0</v>
      </c>
      <c r="G71" s="294">
        <f t="shared" si="20"/>
        <v>1511394</v>
      </c>
      <c r="H71" s="294">
        <f>H61+H62-H66</f>
        <v>0</v>
      </c>
      <c r="I71" s="294">
        <f t="shared" si="15"/>
        <v>1574821</v>
      </c>
    </row>
    <row r="72" spans="1:9" s="284" customFormat="1" ht="10.5" hidden="1" outlineLevel="1" thickTop="1">
      <c r="A72" s="77" t="str">
        <f>CONCATENATE("Odpisy aktualizujące na dzień"," ",'Dane podstawowe'!$B$7)</f>
        <v>Odpisy aktualizujące na dzień 01.01.2018 - 31.12.2018</v>
      </c>
      <c r="B72" s="288"/>
      <c r="C72" s="288"/>
      <c r="D72" s="288"/>
      <c r="E72" s="288"/>
      <c r="F72" s="288"/>
      <c r="G72" s="288"/>
      <c r="H72" s="288"/>
      <c r="I72" s="288">
        <f t="shared" si="15"/>
        <v>0</v>
      </c>
    </row>
    <row r="73" spans="1:9" s="284" customFormat="1" ht="9.75" hidden="1" outlineLevel="1">
      <c r="A73" s="271" t="s">
        <v>270</v>
      </c>
      <c r="B73" s="290">
        <f aca="true" t="shared" si="21" ref="B73:G73">SUM(B74:B75)</f>
        <v>0</v>
      </c>
      <c r="C73" s="290">
        <f t="shared" si="21"/>
        <v>0</v>
      </c>
      <c r="D73" s="290">
        <f t="shared" si="21"/>
        <v>0</v>
      </c>
      <c r="E73" s="290">
        <f t="shared" si="21"/>
        <v>0</v>
      </c>
      <c r="F73" s="290">
        <f t="shared" si="21"/>
        <v>0</v>
      </c>
      <c r="G73" s="290">
        <f t="shared" si="21"/>
        <v>0</v>
      </c>
      <c r="H73" s="290">
        <f>SUM(H74:H75)</f>
        <v>0</v>
      </c>
      <c r="I73" s="290">
        <f t="shared" si="15"/>
        <v>0</v>
      </c>
    </row>
    <row r="74" spans="1:9" s="284" customFormat="1" ht="9.75" hidden="1" outlineLevel="1">
      <c r="A74" s="130" t="s">
        <v>521</v>
      </c>
      <c r="B74" s="293"/>
      <c r="C74" s="293"/>
      <c r="D74" s="293"/>
      <c r="E74" s="293"/>
      <c r="F74" s="293"/>
      <c r="G74" s="293"/>
      <c r="H74" s="293"/>
      <c r="I74" s="293">
        <f t="shared" si="15"/>
        <v>0</v>
      </c>
    </row>
    <row r="75" spans="1:9" s="284" customFormat="1" ht="9.75" hidden="1" outlineLevel="1">
      <c r="A75" s="130" t="s">
        <v>43</v>
      </c>
      <c r="B75" s="293"/>
      <c r="C75" s="293"/>
      <c r="D75" s="293"/>
      <c r="E75" s="293"/>
      <c r="F75" s="293"/>
      <c r="G75" s="293"/>
      <c r="H75" s="293"/>
      <c r="I75" s="293">
        <f t="shared" si="15"/>
        <v>0</v>
      </c>
    </row>
    <row r="76" spans="1:9" s="284" customFormat="1" ht="9.75" hidden="1" outlineLevel="1">
      <c r="A76" s="271" t="s">
        <v>269</v>
      </c>
      <c r="B76" s="290">
        <f aca="true" t="shared" si="22" ref="B76:G76">SUM(B77:B79)</f>
        <v>0</v>
      </c>
      <c r="C76" s="290">
        <f t="shared" si="22"/>
        <v>0</v>
      </c>
      <c r="D76" s="290">
        <f t="shared" si="22"/>
        <v>0</v>
      </c>
      <c r="E76" s="290">
        <f t="shared" si="22"/>
        <v>0</v>
      </c>
      <c r="F76" s="290">
        <f t="shared" si="22"/>
        <v>0</v>
      </c>
      <c r="G76" s="290">
        <f t="shared" si="22"/>
        <v>0</v>
      </c>
      <c r="H76" s="290">
        <f>SUM(H77:H79)</f>
        <v>0</v>
      </c>
      <c r="I76" s="290">
        <f t="shared" si="15"/>
        <v>0</v>
      </c>
    </row>
    <row r="77" spans="1:9" s="284" customFormat="1" ht="9.75" hidden="1" outlineLevel="1">
      <c r="A77" s="130" t="s">
        <v>522</v>
      </c>
      <c r="B77" s="293"/>
      <c r="C77" s="293"/>
      <c r="D77" s="293"/>
      <c r="E77" s="293"/>
      <c r="F77" s="293"/>
      <c r="G77" s="293"/>
      <c r="H77" s="293"/>
      <c r="I77" s="293">
        <f t="shared" si="15"/>
        <v>0</v>
      </c>
    </row>
    <row r="78" spans="1:9" s="284" customFormat="1" ht="9.75" hidden="1" outlineLevel="1">
      <c r="A78" s="130" t="s">
        <v>523</v>
      </c>
      <c r="B78" s="293"/>
      <c r="C78" s="293"/>
      <c r="D78" s="293"/>
      <c r="E78" s="293"/>
      <c r="F78" s="293"/>
      <c r="G78" s="293"/>
      <c r="H78" s="293"/>
      <c r="I78" s="293">
        <f t="shared" si="15"/>
        <v>0</v>
      </c>
    </row>
    <row r="79" spans="1:9" s="284" customFormat="1" ht="9.75" hidden="1" outlineLevel="1">
      <c r="A79" s="130" t="s">
        <v>43</v>
      </c>
      <c r="B79" s="293"/>
      <c r="C79" s="293"/>
      <c r="D79" s="293"/>
      <c r="E79" s="293"/>
      <c r="F79" s="293"/>
      <c r="G79" s="293"/>
      <c r="H79" s="293"/>
      <c r="I79" s="293">
        <f t="shared" si="15"/>
        <v>0</v>
      </c>
    </row>
    <row r="80" spans="1:9" s="284" customFormat="1" ht="10.5" hidden="1" outlineLevel="1" thickBot="1">
      <c r="A80" s="77" t="str">
        <f>CONCATENATE("Odpisy aktualizujące na dzień"," ",'Dane podstawowe'!$B$9)</f>
        <v>Odpisy aktualizujące na dzień 43465</v>
      </c>
      <c r="B80" s="294">
        <f aca="true" t="shared" si="23" ref="B80:H80">B72+B73-B76</f>
        <v>0</v>
      </c>
      <c r="C80" s="294">
        <f t="shared" si="23"/>
        <v>0</v>
      </c>
      <c r="D80" s="294">
        <f t="shared" si="23"/>
        <v>0</v>
      </c>
      <c r="E80" s="294">
        <f t="shared" si="23"/>
        <v>0</v>
      </c>
      <c r="F80" s="294">
        <f t="shared" si="23"/>
        <v>0</v>
      </c>
      <c r="G80" s="294">
        <f t="shared" si="23"/>
        <v>0</v>
      </c>
      <c r="H80" s="294">
        <f t="shared" si="23"/>
        <v>0</v>
      </c>
      <c r="I80" s="294">
        <f t="shared" si="15"/>
        <v>0</v>
      </c>
    </row>
    <row r="81" spans="1:9" s="284" customFormat="1" ht="11.25" outlineLevel="1" thickBot="1" thickTop="1">
      <c r="A81" s="129" t="s">
        <v>781</v>
      </c>
      <c r="B81" s="294">
        <f aca="true" t="shared" si="24" ref="B81:H81">B60-B71-B80</f>
        <v>991832</v>
      </c>
      <c r="C81" s="294">
        <f t="shared" si="24"/>
        <v>632655</v>
      </c>
      <c r="D81" s="294">
        <f t="shared" si="24"/>
        <v>0</v>
      </c>
      <c r="E81" s="294">
        <f t="shared" si="24"/>
        <v>0</v>
      </c>
      <c r="F81" s="294">
        <f t="shared" si="24"/>
        <v>0</v>
      </c>
      <c r="G81" s="294">
        <f t="shared" si="24"/>
        <v>6420225</v>
      </c>
      <c r="H81" s="294">
        <f t="shared" si="24"/>
        <v>0</v>
      </c>
      <c r="I81" s="294">
        <f t="shared" si="15"/>
        <v>8044712</v>
      </c>
    </row>
    <row r="82" spans="2:9" s="284" customFormat="1" ht="10.5" thickTop="1">
      <c r="B82" s="337"/>
      <c r="C82" s="337"/>
      <c r="D82" s="337"/>
      <c r="E82" s="337"/>
      <c r="F82" s="337"/>
      <c r="G82" s="337"/>
      <c r="H82" s="337"/>
      <c r="I82" s="381">
        <f>Aktywa!E5-'NOTA 10 -Wartości niematerialne'!I81</f>
        <v>0</v>
      </c>
    </row>
    <row r="83" s="284" customFormat="1" ht="9.75"/>
    <row r="84" spans="1:11" s="284" customFormat="1" ht="9.75">
      <c r="A84" s="302"/>
      <c r="B84" s="302"/>
      <c r="C84" s="302"/>
      <c r="D84" s="302"/>
      <c r="E84" s="302"/>
      <c r="F84" s="302"/>
      <c r="G84" s="302"/>
      <c r="H84" s="302"/>
      <c r="I84" s="302"/>
      <c r="J84" s="303"/>
      <c r="K84" s="303"/>
    </row>
    <row r="85" spans="1:11" s="284" customFormat="1" ht="9.75">
      <c r="A85" s="71" t="s">
        <v>9</v>
      </c>
      <c r="E85" s="302"/>
      <c r="F85" s="302"/>
      <c r="G85" s="302"/>
      <c r="H85" s="302"/>
      <c r="I85" s="302"/>
      <c r="J85" s="303"/>
      <c r="K85" s="303"/>
    </row>
    <row r="86" spans="1:11" s="284" customFormat="1" ht="9.75">
      <c r="A86" s="285"/>
      <c r="E86" s="302"/>
      <c r="F86" s="302"/>
      <c r="G86" s="302"/>
      <c r="H86" s="302"/>
      <c r="I86" s="302"/>
      <c r="J86" s="303"/>
      <c r="K86" s="303"/>
    </row>
    <row r="87" spans="1:11" s="284" customFormat="1" ht="9.75">
      <c r="A87" s="224" t="s">
        <v>381</v>
      </c>
      <c r="B87" s="606">
        <f>'Dane podstawowe'!$B$9</f>
        <v>43465</v>
      </c>
      <c r="C87" s="606">
        <f>'Dane podstawowe'!$B$14</f>
        <v>43100</v>
      </c>
      <c r="E87" s="302"/>
      <c r="F87" s="302"/>
      <c r="G87" s="302"/>
      <c r="H87" s="302"/>
      <c r="I87" s="302"/>
      <c r="J87" s="303"/>
      <c r="K87" s="303"/>
    </row>
    <row r="88" spans="1:11" s="284" customFormat="1" ht="9.75">
      <c r="A88" s="304" t="s">
        <v>346</v>
      </c>
      <c r="B88" s="117">
        <v>8241905</v>
      </c>
      <c r="C88" s="547">
        <v>8044712</v>
      </c>
      <c r="E88" s="302"/>
      <c r="F88" s="302"/>
      <c r="G88" s="302"/>
      <c r="H88" s="302"/>
      <c r="I88" s="302"/>
      <c r="J88" s="303"/>
      <c r="K88" s="303"/>
    </row>
    <row r="89" spans="1:11" s="284" customFormat="1" ht="20.25">
      <c r="A89" s="277" t="s">
        <v>347</v>
      </c>
      <c r="B89" s="266">
        <v>0</v>
      </c>
      <c r="C89" s="132">
        <v>0</v>
      </c>
      <c r="E89" s="302"/>
      <c r="F89" s="302"/>
      <c r="G89" s="302"/>
      <c r="H89" s="302"/>
      <c r="I89" s="302"/>
      <c r="J89" s="303"/>
      <c r="K89" s="303"/>
    </row>
    <row r="90" spans="1:11" s="284" customFormat="1" ht="9.75">
      <c r="A90" s="276" t="s">
        <v>389</v>
      </c>
      <c r="B90" s="274">
        <f>SUM(B88:B89)</f>
        <v>8241905</v>
      </c>
      <c r="C90" s="274">
        <f>SUM(C88:C89)</f>
        <v>8044712</v>
      </c>
      <c r="E90" s="302"/>
      <c r="F90" s="302"/>
      <c r="G90" s="302"/>
      <c r="H90" s="302"/>
      <c r="I90" s="302"/>
      <c r="J90" s="303"/>
      <c r="K90" s="303"/>
    </row>
    <row r="91" spans="2:11" s="284" customFormat="1" ht="9.75">
      <c r="B91" s="381">
        <f>Aktywa!D5-'NOTA 10 -Wartości niematerialne'!B90</f>
        <v>0</v>
      </c>
      <c r="C91" s="381">
        <f>Aktywa!E5-'NOTA 10 -Wartości niematerialne'!C90</f>
        <v>0</v>
      </c>
      <c r="E91" s="302"/>
      <c r="F91" s="302"/>
      <c r="G91" s="302"/>
      <c r="H91" s="302"/>
      <c r="I91" s="302"/>
      <c r="J91" s="303"/>
      <c r="K91" s="303"/>
    </row>
    <row r="92" spans="5:11" s="284" customFormat="1" ht="9.75">
      <c r="E92" s="302"/>
      <c r="F92" s="302"/>
      <c r="G92" s="302"/>
      <c r="H92" s="302"/>
      <c r="I92" s="302"/>
      <c r="J92" s="303"/>
      <c r="K92" s="303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0" r:id="rId1"/>
  <rowBreaks count="1" manualBreakCount="1">
    <brk id="82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2"/>
  <sheetViews>
    <sheetView showGridLines="0" view="pageBreakPreview" zoomScale="110" zoomScaleSheetLayoutView="110" zoomScalePageLayoutView="0" workbookViewId="0" topLeftCell="A88">
      <selection activeCell="L28" sqref="L28"/>
    </sheetView>
  </sheetViews>
  <sheetFormatPr defaultColWidth="9.28125" defaultRowHeight="12.75"/>
  <cols>
    <col min="1" max="1" width="22.28125" style="311" customWidth="1"/>
    <col min="2" max="3" width="15.7109375" style="311" customWidth="1"/>
    <col min="4" max="4" width="17.421875" style="311" customWidth="1"/>
    <col min="5" max="5" width="13.57421875" style="311" customWidth="1"/>
    <col min="6" max="6" width="11.57421875" style="311" customWidth="1"/>
    <col min="7" max="7" width="12.7109375" style="311" customWidth="1"/>
    <col min="8" max="8" width="10.28125" style="311" customWidth="1"/>
    <col min="9" max="9" width="10.421875" style="311" customWidth="1"/>
    <col min="10" max="16384" width="9.28125" style="311" customWidth="1"/>
  </cols>
  <sheetData>
    <row r="1" ht="9.75">
      <c r="A1" s="282"/>
    </row>
    <row r="2" s="476" customFormat="1" ht="12.75">
      <c r="A2" s="467" t="s">
        <v>652</v>
      </c>
    </row>
    <row r="4" spans="1:10" ht="9.75">
      <c r="A4" s="633" t="s">
        <v>421</v>
      </c>
      <c r="B4" s="633"/>
      <c r="C4" s="633"/>
      <c r="D4" s="633"/>
      <c r="E4" s="633"/>
      <c r="F4" s="633"/>
      <c r="G4" s="633"/>
      <c r="H4" s="633"/>
      <c r="I4" s="633"/>
      <c r="J4" s="633"/>
    </row>
    <row r="5" spans="1:10" ht="9.75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6" ht="20.25">
      <c r="A6" s="306" t="s">
        <v>10</v>
      </c>
      <c r="B6" s="596">
        <f>'Dane podstawowe'!$B$9</f>
        <v>43465</v>
      </c>
      <c r="C6" s="596">
        <f>'Dane podstawowe'!$B$14</f>
        <v>43100</v>
      </c>
      <c r="D6" s="317"/>
      <c r="E6" s="317"/>
      <c r="F6" s="317"/>
    </row>
    <row r="7" spans="1:6" ht="9.75">
      <c r="A7" s="278" t="s">
        <v>11</v>
      </c>
      <c r="B7" s="279">
        <f>7366677+814400</f>
        <v>8181077</v>
      </c>
      <c r="C7" s="316">
        <v>2302417</v>
      </c>
      <c r="D7" s="317"/>
      <c r="E7" s="317"/>
      <c r="F7" s="317"/>
    </row>
    <row r="8" spans="1:6" ht="9.75">
      <c r="A8" s="319" t="s">
        <v>12</v>
      </c>
      <c r="B8" s="279">
        <v>0</v>
      </c>
      <c r="C8" s="316">
        <v>0</v>
      </c>
      <c r="D8" s="317"/>
      <c r="E8" s="317"/>
      <c r="F8" s="317"/>
    </row>
    <row r="9" spans="1:6" ht="9.75">
      <c r="A9" s="319" t="s">
        <v>13</v>
      </c>
      <c r="B9" s="279">
        <v>0</v>
      </c>
      <c r="C9" s="316">
        <v>0</v>
      </c>
      <c r="D9" s="317"/>
      <c r="E9" s="317"/>
      <c r="F9" s="317"/>
    </row>
    <row r="10" spans="1:6" ht="9.75">
      <c r="A10" s="320"/>
      <c r="B10" s="332">
        <f>Aktywa!D7-('NOTA 11 - Inw. w jedn. podporz.'!B7+'NOTA 11 - Inw. w jedn. podporz.'!B8+'NOTA 11 - Inw. w jedn. podporz.'!B9)</f>
        <v>0</v>
      </c>
      <c r="C10" s="332">
        <f>Aktywa!E7-('NOTA 11 - Inw. w jedn. podporz.'!C7+'NOTA 11 - Inw. w jedn. podporz.'!C8+'NOTA 11 - Inw. w jedn. podporz.'!C9)</f>
        <v>0</v>
      </c>
      <c r="D10" s="317"/>
      <c r="E10" s="317"/>
      <c r="F10" s="317"/>
    </row>
    <row r="11" spans="1:6" s="275" customFormat="1" ht="9.75">
      <c r="A11" s="449"/>
      <c r="B11" s="374"/>
      <c r="C11" s="374"/>
      <c r="D11" s="450"/>
      <c r="E11" s="450"/>
      <c r="F11" s="450"/>
    </row>
    <row r="12" spans="1:6" ht="9.75">
      <c r="A12" s="310" t="s">
        <v>422</v>
      </c>
      <c r="D12" s="317"/>
      <c r="E12" s="317"/>
      <c r="F12" s="317"/>
    </row>
    <row r="13" spans="1:6" ht="9.75">
      <c r="A13" s="310"/>
      <c r="D13" s="317"/>
      <c r="E13" s="317"/>
      <c r="F13" s="317"/>
    </row>
    <row r="14" spans="1:6" ht="9.75">
      <c r="A14" s="306" t="s">
        <v>381</v>
      </c>
      <c r="B14" s="596">
        <f>'Dane podstawowe'!$B$9</f>
        <v>43465</v>
      </c>
      <c r="C14" s="596">
        <f>'Dane podstawowe'!$B$14</f>
        <v>43100</v>
      </c>
      <c r="D14" s="317"/>
      <c r="E14" s="317"/>
      <c r="F14" s="317"/>
    </row>
    <row r="15" spans="1:6" ht="9.75">
      <c r="A15" s="321" t="s">
        <v>14</v>
      </c>
      <c r="B15" s="322">
        <v>2302417</v>
      </c>
      <c r="C15" s="309">
        <v>2081597</v>
      </c>
      <c r="D15" s="317"/>
      <c r="E15" s="317"/>
      <c r="F15" s="317"/>
    </row>
    <row r="16" spans="1:6" s="326" customFormat="1" ht="20.25">
      <c r="A16" s="323" t="s">
        <v>15</v>
      </c>
      <c r="B16" s="324">
        <f>SUM(B17:B20)</f>
        <v>6732608</v>
      </c>
      <c r="C16" s="324">
        <f>SUM(C17:C20)</f>
        <v>273495</v>
      </c>
      <c r="D16" s="325"/>
      <c r="E16" s="325"/>
      <c r="F16" s="325"/>
    </row>
    <row r="17" spans="1:6" ht="20.25">
      <c r="A17" s="327" t="s">
        <v>16</v>
      </c>
      <c r="B17" s="308">
        <v>798697</v>
      </c>
      <c r="C17" s="307">
        <v>0</v>
      </c>
      <c r="D17" s="317"/>
      <c r="E17" s="317"/>
      <c r="F17" s="317"/>
    </row>
    <row r="18" spans="1:6" ht="9.75">
      <c r="A18" s="327" t="s">
        <v>566</v>
      </c>
      <c r="B18" s="308">
        <f>5015990+814400</f>
        <v>5830390</v>
      </c>
      <c r="C18" s="307">
        <v>273495</v>
      </c>
      <c r="D18" s="317"/>
      <c r="E18" s="317"/>
      <c r="F18" s="317"/>
    </row>
    <row r="19" spans="1:6" ht="9.75">
      <c r="A19" s="562" t="s">
        <v>819</v>
      </c>
      <c r="B19" s="308">
        <v>102184</v>
      </c>
      <c r="C19" s="307">
        <v>0</v>
      </c>
      <c r="D19" s="317"/>
      <c r="E19" s="317"/>
      <c r="F19" s="317"/>
    </row>
    <row r="20" spans="1:6" ht="9.75">
      <c r="A20" s="327" t="s">
        <v>18</v>
      </c>
      <c r="B20" s="308">
        <v>1337</v>
      </c>
      <c r="C20" s="307">
        <v>0</v>
      </c>
      <c r="D20" s="317"/>
      <c r="E20" s="317"/>
      <c r="F20" s="317"/>
    </row>
    <row r="21" spans="1:6" s="326" customFormat="1" ht="20.25">
      <c r="A21" s="323" t="s">
        <v>19</v>
      </c>
      <c r="B21" s="324">
        <f>SUM(B22:B24)</f>
        <v>853948</v>
      </c>
      <c r="C21" s="324">
        <f>SUM(C22:C24)</f>
        <v>52675</v>
      </c>
      <c r="D21" s="325"/>
      <c r="E21" s="325"/>
      <c r="F21" s="325"/>
    </row>
    <row r="22" spans="1:6" ht="9.75">
      <c r="A22" s="562" t="s">
        <v>820</v>
      </c>
      <c r="B22" s="308">
        <v>801411</v>
      </c>
      <c r="C22" s="307">
        <v>0</v>
      </c>
      <c r="D22" s="317"/>
      <c r="E22" s="317"/>
      <c r="F22" s="317"/>
    </row>
    <row r="23" spans="1:6" ht="9.75">
      <c r="A23" s="562" t="s">
        <v>709</v>
      </c>
      <c r="B23" s="308">
        <v>52537</v>
      </c>
      <c r="C23" s="307">
        <v>52538</v>
      </c>
      <c r="D23" s="317"/>
      <c r="E23" s="317"/>
      <c r="F23" s="317"/>
    </row>
    <row r="24" spans="1:6" ht="9.75">
      <c r="A24" s="327" t="s">
        <v>21</v>
      </c>
      <c r="B24" s="308">
        <v>0</v>
      </c>
      <c r="C24" s="307">
        <v>137</v>
      </c>
      <c r="D24" s="317"/>
      <c r="E24" s="317"/>
      <c r="F24" s="317"/>
    </row>
    <row r="25" spans="1:6" ht="9.75">
      <c r="A25" s="328" t="s">
        <v>22</v>
      </c>
      <c r="B25" s="322">
        <f>B15+B16-B21</f>
        <v>8181077</v>
      </c>
      <c r="C25" s="322">
        <f>C15+C16-C21</f>
        <v>2302417</v>
      </c>
      <c r="D25" s="317"/>
      <c r="E25" s="317"/>
      <c r="F25" s="317"/>
    </row>
    <row r="26" spans="2:6" ht="9.75">
      <c r="B26" s="332">
        <f>B7-B25</f>
        <v>0</v>
      </c>
      <c r="C26" s="332">
        <f>C7-C25</f>
        <v>0</v>
      </c>
      <c r="D26" s="317"/>
      <c r="E26" s="317"/>
      <c r="F26" s="317"/>
    </row>
    <row r="27" spans="2:6" s="275" customFormat="1" ht="9.75">
      <c r="B27" s="374"/>
      <c r="C27" s="374"/>
      <c r="D27" s="450"/>
      <c r="E27" s="450"/>
      <c r="F27" s="450"/>
    </row>
    <row r="28" spans="1:6" ht="9.75">
      <c r="A28" s="310" t="s">
        <v>423</v>
      </c>
      <c r="D28" s="317"/>
      <c r="E28" s="317"/>
      <c r="F28" s="317"/>
    </row>
    <row r="29" spans="1:6" ht="9.75">
      <c r="A29" s="310"/>
      <c r="D29" s="317"/>
      <c r="E29" s="317"/>
      <c r="F29" s="317"/>
    </row>
    <row r="30" spans="1:6" ht="9.75">
      <c r="A30" s="306" t="s">
        <v>381</v>
      </c>
      <c r="B30" s="596">
        <f>'Dane podstawowe'!$B$9</f>
        <v>43465</v>
      </c>
      <c r="C30" s="596">
        <f>'Dane podstawowe'!$B$14</f>
        <v>43100</v>
      </c>
      <c r="D30" s="317"/>
      <c r="E30" s="317"/>
      <c r="F30" s="317"/>
    </row>
    <row r="31" spans="1:6" ht="9.75">
      <c r="A31" s="321" t="s">
        <v>14</v>
      </c>
      <c r="B31" s="322">
        <f>C40</f>
        <v>0</v>
      </c>
      <c r="C31" s="309">
        <v>0</v>
      </c>
      <c r="D31" s="317"/>
      <c r="E31" s="317"/>
      <c r="F31" s="317"/>
    </row>
    <row r="32" spans="1:6" s="326" customFormat="1" ht="20.25">
      <c r="A32" s="323" t="s">
        <v>15</v>
      </c>
      <c r="B32" s="324">
        <f>SUM(B33:B35)</f>
        <v>0</v>
      </c>
      <c r="C32" s="324">
        <f>SUM(C33:C35)</f>
        <v>0</v>
      </c>
      <c r="D32" s="325"/>
      <c r="E32" s="325"/>
      <c r="F32" s="325"/>
    </row>
    <row r="33" spans="1:6" ht="20.25">
      <c r="A33" s="327" t="s">
        <v>16</v>
      </c>
      <c r="B33" s="308">
        <v>0</v>
      </c>
      <c r="C33" s="307">
        <v>0</v>
      </c>
      <c r="D33" s="317"/>
      <c r="E33" s="317"/>
      <c r="F33" s="317"/>
    </row>
    <row r="34" spans="1:6" ht="9.75">
      <c r="A34" s="327" t="s">
        <v>566</v>
      </c>
      <c r="B34" s="308">
        <v>0</v>
      </c>
      <c r="C34" s="307">
        <v>0</v>
      </c>
      <c r="D34" s="317"/>
      <c r="E34" s="317"/>
      <c r="F34" s="317"/>
    </row>
    <row r="35" spans="1:6" ht="9.75">
      <c r="A35" s="562" t="s">
        <v>17</v>
      </c>
      <c r="B35" s="308">
        <v>0</v>
      </c>
      <c r="C35" s="307">
        <v>0</v>
      </c>
      <c r="D35" s="317"/>
      <c r="E35" s="317"/>
      <c r="F35" s="317"/>
    </row>
    <row r="36" spans="1:6" s="326" customFormat="1" ht="20.25">
      <c r="A36" s="323" t="s">
        <v>19</v>
      </c>
      <c r="B36" s="324">
        <f>SUM(B37:B39)</f>
        <v>0</v>
      </c>
      <c r="C36" s="324">
        <f>SUM(C37:C39)</f>
        <v>0</v>
      </c>
      <c r="D36" s="325"/>
      <c r="E36" s="325"/>
      <c r="F36" s="325"/>
    </row>
    <row r="37" spans="1:6" ht="9.75">
      <c r="A37" s="327" t="s">
        <v>20</v>
      </c>
      <c r="B37" s="308">
        <v>0</v>
      </c>
      <c r="C37" s="307">
        <v>0</v>
      </c>
      <c r="D37" s="317"/>
      <c r="E37" s="317"/>
      <c r="F37" s="317"/>
    </row>
    <row r="38" spans="1:6" ht="9.75">
      <c r="A38" s="327" t="s">
        <v>17</v>
      </c>
      <c r="B38" s="308">
        <v>0</v>
      </c>
      <c r="C38" s="307">
        <v>0</v>
      </c>
      <c r="D38" s="317"/>
      <c r="E38" s="317"/>
      <c r="F38" s="317"/>
    </row>
    <row r="39" spans="1:6" ht="9.75" hidden="1">
      <c r="A39" s="327"/>
      <c r="B39" s="308"/>
      <c r="C39" s="307"/>
      <c r="D39" s="317"/>
      <c r="E39" s="317"/>
      <c r="F39" s="317"/>
    </row>
    <row r="40" spans="1:6" ht="9.75">
      <c r="A40" s="328" t="s">
        <v>22</v>
      </c>
      <c r="B40" s="322">
        <f>B31+B32-B36</f>
        <v>0</v>
      </c>
      <c r="C40" s="322">
        <f>C31+C32-C36</f>
        <v>0</v>
      </c>
      <c r="D40" s="317"/>
      <c r="E40" s="317"/>
      <c r="F40" s="317"/>
    </row>
    <row r="41" spans="2:3" ht="9.75">
      <c r="B41" s="332">
        <f>B8+B9-B40</f>
        <v>0</v>
      </c>
      <c r="C41" s="332">
        <f>C8+C9-C40</f>
        <v>0</v>
      </c>
    </row>
    <row r="42" ht="9.75">
      <c r="A42" s="73" t="s">
        <v>784</v>
      </c>
    </row>
    <row r="43" ht="9.75">
      <c r="A43" s="310"/>
    </row>
    <row r="44" spans="1:7" s="329" customFormat="1" ht="30">
      <c r="A44" s="224" t="s">
        <v>23</v>
      </c>
      <c r="B44" s="224" t="s">
        <v>24</v>
      </c>
      <c r="C44" s="224" t="s">
        <v>25</v>
      </c>
      <c r="D44" s="224" t="s">
        <v>26</v>
      </c>
      <c r="E44" s="224" t="s">
        <v>27</v>
      </c>
      <c r="F44" s="224" t="s">
        <v>28</v>
      </c>
      <c r="G44" s="224" t="s">
        <v>29</v>
      </c>
    </row>
    <row r="45" spans="1:7" ht="9.75">
      <c r="A45" s="65" t="s">
        <v>606</v>
      </c>
      <c r="B45" s="316">
        <v>255598</v>
      </c>
      <c r="C45" s="279">
        <v>0</v>
      </c>
      <c r="D45" s="279">
        <v>255598</v>
      </c>
      <c r="E45" s="313">
        <v>90</v>
      </c>
      <c r="F45" s="313">
        <v>90</v>
      </c>
      <c r="G45" s="544" t="s">
        <v>607</v>
      </c>
    </row>
    <row r="46" spans="1:7" ht="9.75">
      <c r="A46" s="145" t="s">
        <v>787</v>
      </c>
      <c r="B46" s="316">
        <v>1307801</v>
      </c>
      <c r="C46" s="279">
        <v>0</v>
      </c>
      <c r="D46" s="279">
        <v>1307801</v>
      </c>
      <c r="E46" s="313">
        <v>100</v>
      </c>
      <c r="F46" s="313">
        <v>100</v>
      </c>
      <c r="G46" s="544" t="s">
        <v>607</v>
      </c>
    </row>
    <row r="47" spans="1:7" ht="9.75">
      <c r="A47" s="145" t="s">
        <v>786</v>
      </c>
      <c r="B47" s="316">
        <v>1472085</v>
      </c>
      <c r="C47" s="279">
        <v>0</v>
      </c>
      <c r="D47" s="279">
        <v>1472085</v>
      </c>
      <c r="E47" s="313">
        <v>12</v>
      </c>
      <c r="F47" s="313">
        <v>12</v>
      </c>
      <c r="G47" s="544" t="s">
        <v>607</v>
      </c>
    </row>
    <row r="48" spans="1:7" ht="9.75">
      <c r="A48" s="145" t="s">
        <v>788</v>
      </c>
      <c r="B48" s="316">
        <v>273849</v>
      </c>
      <c r="C48" s="279">
        <v>0</v>
      </c>
      <c r="D48" s="279">
        <v>273849</v>
      </c>
      <c r="E48" s="313">
        <v>90</v>
      </c>
      <c r="F48" s="313">
        <v>90</v>
      </c>
      <c r="G48" s="544" t="s">
        <v>607</v>
      </c>
    </row>
    <row r="49" spans="1:7" ht="9.75">
      <c r="A49" s="145" t="s">
        <v>789</v>
      </c>
      <c r="B49" s="316">
        <v>1975119</v>
      </c>
      <c r="C49" s="279">
        <v>0</v>
      </c>
      <c r="D49" s="279">
        <v>1975119</v>
      </c>
      <c r="E49" s="313">
        <v>100</v>
      </c>
      <c r="F49" s="313">
        <v>100</v>
      </c>
      <c r="G49" s="544" t="s">
        <v>607</v>
      </c>
    </row>
    <row r="50" spans="1:7" ht="9.75">
      <c r="A50" s="145" t="s">
        <v>790</v>
      </c>
      <c r="B50" s="316">
        <f>1975041+814400</f>
        <v>2789441</v>
      </c>
      <c r="C50" s="279">
        <v>0</v>
      </c>
      <c r="D50" s="279">
        <f>1975041+814400</f>
        <v>2789441</v>
      </c>
      <c r="E50" s="313">
        <v>94</v>
      </c>
      <c r="F50" s="313">
        <v>94</v>
      </c>
      <c r="G50" s="544" t="s">
        <v>607</v>
      </c>
    </row>
    <row r="51" spans="1:7" ht="9.75">
      <c r="A51" s="145" t="s">
        <v>610</v>
      </c>
      <c r="B51" s="316">
        <v>105075</v>
      </c>
      <c r="C51" s="279">
        <v>105075</v>
      </c>
      <c r="D51" s="279">
        <f>B51-C51</f>
        <v>0</v>
      </c>
      <c r="E51" s="313">
        <v>100</v>
      </c>
      <c r="F51" s="313">
        <v>100</v>
      </c>
      <c r="G51" s="544" t="s">
        <v>611</v>
      </c>
    </row>
    <row r="52" spans="1:7" ht="9.75">
      <c r="A52" s="145" t="s">
        <v>612</v>
      </c>
      <c r="B52" s="316">
        <v>5000</v>
      </c>
      <c r="C52" s="279">
        <v>0</v>
      </c>
      <c r="D52" s="279">
        <v>5000</v>
      </c>
      <c r="E52" s="313">
        <v>50</v>
      </c>
      <c r="F52" s="313">
        <v>50</v>
      </c>
      <c r="G52" s="544" t="s">
        <v>611</v>
      </c>
    </row>
    <row r="53" spans="1:7" ht="9.75">
      <c r="A53" s="145" t="s">
        <v>791</v>
      </c>
      <c r="B53" s="316">
        <v>51092</v>
      </c>
      <c r="C53" s="279">
        <v>0</v>
      </c>
      <c r="D53" s="279">
        <v>51092</v>
      </c>
      <c r="E53" s="313">
        <v>100</v>
      </c>
      <c r="F53" s="313">
        <v>100</v>
      </c>
      <c r="G53" s="544" t="s">
        <v>611</v>
      </c>
    </row>
    <row r="54" spans="1:7" ht="9.75">
      <c r="A54" s="145" t="s">
        <v>792</v>
      </c>
      <c r="B54" s="316">
        <v>51092</v>
      </c>
      <c r="C54" s="279">
        <v>0</v>
      </c>
      <c r="D54" s="279">
        <v>51092</v>
      </c>
      <c r="E54" s="313">
        <v>100</v>
      </c>
      <c r="F54" s="313">
        <v>100</v>
      </c>
      <c r="G54" s="544" t="s">
        <v>611</v>
      </c>
    </row>
    <row r="55" spans="1:7" ht="9.75">
      <c r="A55" s="545"/>
      <c r="B55" s="387"/>
      <c r="C55" s="388"/>
      <c r="D55" s="388"/>
      <c r="E55" s="382"/>
      <c r="F55" s="382"/>
      <c r="G55" s="546"/>
    </row>
    <row r="56" ht="9.75">
      <c r="A56" s="330"/>
    </row>
    <row r="57" spans="1:9" s="329" customFormat="1" ht="20.25">
      <c r="A57" s="224" t="s">
        <v>204</v>
      </c>
      <c r="B57" s="224" t="s">
        <v>227</v>
      </c>
      <c r="C57" s="224" t="s">
        <v>228</v>
      </c>
      <c r="D57" s="224" t="s">
        <v>30</v>
      </c>
      <c r="E57" s="224" t="s">
        <v>31</v>
      </c>
      <c r="F57" s="224" t="s">
        <v>32</v>
      </c>
      <c r="G57" s="224" t="s">
        <v>33</v>
      </c>
      <c r="H57" s="224" t="s">
        <v>34</v>
      </c>
      <c r="I57" s="224" t="s">
        <v>35</v>
      </c>
    </row>
    <row r="58" spans="1:9" s="329" customFormat="1" ht="9.75">
      <c r="A58" s="610">
        <v>7496314</v>
      </c>
      <c r="B58" s="610">
        <v>250000</v>
      </c>
      <c r="C58" s="610">
        <f>899194+3466053+85050</f>
        <v>4450297</v>
      </c>
      <c r="D58" s="610">
        <v>2796017</v>
      </c>
      <c r="E58" s="610">
        <v>12480119</v>
      </c>
      <c r="F58" s="610">
        <v>4890036</v>
      </c>
      <c r="G58" s="610">
        <v>7590083</v>
      </c>
      <c r="H58" s="610">
        <v>4983805</v>
      </c>
      <c r="I58" s="610">
        <v>26295342</v>
      </c>
    </row>
    <row r="59" spans="1:9" s="329" customFormat="1" ht="9.75">
      <c r="A59" s="610">
        <f>B59+C59+D59</f>
        <v>709891</v>
      </c>
      <c r="B59" s="610">
        <v>61950</v>
      </c>
      <c r="C59" s="610">
        <v>1226871</v>
      </c>
      <c r="D59" s="610">
        <v>-578930</v>
      </c>
      <c r="E59" s="610">
        <f>F59+G59</f>
        <v>3231154</v>
      </c>
      <c r="F59" s="610">
        <v>782252</v>
      </c>
      <c r="G59" s="610">
        <v>2448902</v>
      </c>
      <c r="H59" s="610">
        <v>2521263</v>
      </c>
      <c r="I59" s="610">
        <v>7469718</v>
      </c>
    </row>
    <row r="60" spans="1:9" ht="9.75">
      <c r="A60" s="610">
        <v>3424145</v>
      </c>
      <c r="B60" s="610">
        <v>56150</v>
      </c>
      <c r="C60" s="610">
        <v>2562664</v>
      </c>
      <c r="D60" s="610">
        <v>805331</v>
      </c>
      <c r="E60" s="610">
        <v>5510696</v>
      </c>
      <c r="F60" s="610">
        <v>2093738</v>
      </c>
      <c r="G60" s="610">
        <v>3416958</v>
      </c>
      <c r="H60" s="610">
        <f>283938+1802613</f>
        <v>2086551</v>
      </c>
      <c r="I60" s="610">
        <v>8207309</v>
      </c>
    </row>
    <row r="61" spans="1:9" ht="9.75">
      <c r="A61" s="610">
        <f>SUM(B61:D61)</f>
        <v>-50873</v>
      </c>
      <c r="B61" s="610">
        <v>5100</v>
      </c>
      <c r="C61" s="610">
        <v>-46537</v>
      </c>
      <c r="D61" s="610">
        <v>-9436</v>
      </c>
      <c r="E61" s="610">
        <v>803706.37</v>
      </c>
      <c r="F61" s="610">
        <v>666755</v>
      </c>
      <c r="G61" s="610">
        <v>139766</v>
      </c>
      <c r="H61" s="610">
        <v>857394</v>
      </c>
      <c r="I61" s="610">
        <v>532908.58</v>
      </c>
    </row>
    <row r="62" spans="1:9" ht="9.75">
      <c r="A62" s="610">
        <f>SUM(B62:D62)</f>
        <v>972030.0800000001</v>
      </c>
      <c r="B62" s="610">
        <v>5184800</v>
      </c>
      <c r="C62" s="610">
        <v>-4054010.92</v>
      </c>
      <c r="D62" s="610">
        <v>-158759</v>
      </c>
      <c r="E62" s="610">
        <v>2601027.58</v>
      </c>
      <c r="F62" s="610">
        <v>1891462.6</v>
      </c>
      <c r="G62" s="610">
        <v>709564.98</v>
      </c>
      <c r="H62" s="610">
        <v>1628998</v>
      </c>
      <c r="I62" s="610">
        <v>6816276.8</v>
      </c>
    </row>
    <row r="63" spans="1:9" ht="9.75">
      <c r="A63" s="610">
        <f>SUM(B63:D63)</f>
        <v>1576235.1600000001</v>
      </c>
      <c r="B63" s="610">
        <v>10000000</v>
      </c>
      <c r="C63" s="610">
        <v>-9000308.84</v>
      </c>
      <c r="D63" s="610">
        <v>576544</v>
      </c>
      <c r="E63" s="610">
        <f>F63+G63</f>
        <v>3751684</v>
      </c>
      <c r="F63" s="610">
        <v>392830</v>
      </c>
      <c r="G63" s="610">
        <v>3358854</v>
      </c>
      <c r="H63" s="610">
        <v>2175449</v>
      </c>
      <c r="I63" s="610">
        <v>13871618</v>
      </c>
    </row>
    <row r="64" spans="1:9" ht="9.75">
      <c r="A64" s="610">
        <v>-183040.72</v>
      </c>
      <c r="B64" s="610">
        <v>107500</v>
      </c>
      <c r="C64" s="610">
        <v>-232795.16</v>
      </c>
      <c r="D64" s="610">
        <v>-57745.56</v>
      </c>
      <c r="E64" s="610">
        <v>24062.67</v>
      </c>
      <c r="F64" s="610">
        <v>1118</v>
      </c>
      <c r="G64" s="610">
        <v>22944.67</v>
      </c>
      <c r="H64" s="610">
        <v>207103.39</v>
      </c>
      <c r="I64" s="610">
        <v>0</v>
      </c>
    </row>
    <row r="65" spans="1:9" ht="9.75">
      <c r="A65" s="610">
        <f>B65+C65+D65</f>
        <v>8116.28</v>
      </c>
      <c r="B65" s="610">
        <v>10000</v>
      </c>
      <c r="C65" s="610">
        <v>0</v>
      </c>
      <c r="D65" s="610">
        <f>5906.21-7789.93</f>
        <v>-1883.7200000000003</v>
      </c>
      <c r="E65" s="610">
        <v>57976.48</v>
      </c>
      <c r="F65" s="610">
        <v>3104</v>
      </c>
      <c r="G65" s="610">
        <v>54872.48</v>
      </c>
      <c r="H65" s="610">
        <v>49860.2</v>
      </c>
      <c r="I65" s="610">
        <v>83787</v>
      </c>
    </row>
    <row r="66" spans="1:9" ht="9.75">
      <c r="A66" s="610">
        <f>B66+D66</f>
        <v>47396</v>
      </c>
      <c r="B66" s="610">
        <v>50000</v>
      </c>
      <c r="C66" s="610">
        <v>0</v>
      </c>
      <c r="D66" s="610">
        <v>-2604</v>
      </c>
      <c r="E66" s="610">
        <v>49673</v>
      </c>
      <c r="F66" s="610">
        <v>0</v>
      </c>
      <c r="G66" s="610">
        <v>49673</v>
      </c>
      <c r="H66" s="610">
        <v>2277</v>
      </c>
      <c r="I66" s="610">
        <v>0</v>
      </c>
    </row>
    <row r="67" spans="1:9" ht="9.75">
      <c r="A67" s="610">
        <f>B67+D67</f>
        <v>49069.95</v>
      </c>
      <c r="B67" s="610">
        <v>50000</v>
      </c>
      <c r="C67" s="610">
        <v>0</v>
      </c>
      <c r="D67" s="610">
        <v>-930.05</v>
      </c>
      <c r="E67" s="610">
        <v>49439</v>
      </c>
      <c r="F67" s="610">
        <v>0</v>
      </c>
      <c r="G67" s="610">
        <v>49438.95</v>
      </c>
      <c r="H67" s="610">
        <v>369</v>
      </c>
      <c r="I67" s="610">
        <v>0</v>
      </c>
    </row>
    <row r="68" ht="9.75">
      <c r="A68" s="331"/>
    </row>
    <row r="69" ht="9.75">
      <c r="A69" s="73" t="s">
        <v>785</v>
      </c>
    </row>
    <row r="70" ht="9.75">
      <c r="A70" s="310"/>
    </row>
    <row r="71" spans="1:9" ht="30">
      <c r="A71" s="224" t="s">
        <v>23</v>
      </c>
      <c r="B71" s="224" t="s">
        <v>24</v>
      </c>
      <c r="C71" s="224" t="s">
        <v>25</v>
      </c>
      <c r="D71" s="224" t="s">
        <v>26</v>
      </c>
      <c r="E71" s="224" t="s">
        <v>27</v>
      </c>
      <c r="F71" s="224" t="s">
        <v>28</v>
      </c>
      <c r="G71" s="224" t="s">
        <v>29</v>
      </c>
      <c r="H71" s="329"/>
      <c r="I71" s="329"/>
    </row>
    <row r="72" spans="1:7" ht="9.75">
      <c r="A72" s="65" t="s">
        <v>606</v>
      </c>
      <c r="B72" s="316">
        <v>254398.42</v>
      </c>
      <c r="C72" s="279">
        <v>0</v>
      </c>
      <c r="D72" s="279">
        <v>254398.42</v>
      </c>
      <c r="E72" s="313">
        <v>90</v>
      </c>
      <c r="F72" s="313">
        <v>90</v>
      </c>
      <c r="G72" s="544" t="s">
        <v>607</v>
      </c>
    </row>
    <row r="73" spans="1:7" ht="9.75">
      <c r="A73" s="145" t="s">
        <v>608</v>
      </c>
      <c r="B73" s="316">
        <v>915712.7</v>
      </c>
      <c r="C73" s="279">
        <v>0</v>
      </c>
      <c r="D73" s="279">
        <v>915712.7</v>
      </c>
      <c r="E73" s="313">
        <v>90</v>
      </c>
      <c r="F73" s="313">
        <v>90</v>
      </c>
      <c r="G73" s="544" t="s">
        <v>607</v>
      </c>
    </row>
    <row r="74" spans="1:7" ht="9.75">
      <c r="A74" s="145" t="s">
        <v>609</v>
      </c>
      <c r="B74" s="316">
        <v>801411</v>
      </c>
      <c r="C74" s="279">
        <v>0</v>
      </c>
      <c r="D74" s="279">
        <v>801411</v>
      </c>
      <c r="E74" s="313">
        <v>100</v>
      </c>
      <c r="F74" s="313">
        <v>100</v>
      </c>
      <c r="G74" s="544" t="s">
        <v>607</v>
      </c>
    </row>
    <row r="75" spans="1:7" ht="9.75">
      <c r="A75" s="145" t="s">
        <v>610</v>
      </c>
      <c r="B75" s="316">
        <v>105075</v>
      </c>
      <c r="C75" s="279">
        <f>137.5+52537.5</f>
        <v>52675</v>
      </c>
      <c r="D75" s="279">
        <f>B75-C75</f>
        <v>52400</v>
      </c>
      <c r="E75" s="313">
        <v>100</v>
      </c>
      <c r="F75" s="313">
        <v>100</v>
      </c>
      <c r="G75" s="544" t="s">
        <v>611</v>
      </c>
    </row>
    <row r="76" spans="1:7" ht="9.75">
      <c r="A76" s="145" t="s">
        <v>612</v>
      </c>
      <c r="B76" s="316">
        <v>5000</v>
      </c>
      <c r="C76" s="279">
        <v>0</v>
      </c>
      <c r="D76" s="279">
        <v>5000</v>
      </c>
      <c r="E76" s="313">
        <v>50</v>
      </c>
      <c r="F76" s="313">
        <v>50</v>
      </c>
      <c r="G76" s="544" t="s">
        <v>611</v>
      </c>
    </row>
    <row r="77" spans="1:7" ht="9.75">
      <c r="A77" s="145" t="s">
        <v>700</v>
      </c>
      <c r="B77" s="316">
        <v>273495</v>
      </c>
      <c r="C77" s="279">
        <v>0</v>
      </c>
      <c r="D77" s="279">
        <v>273495</v>
      </c>
      <c r="E77" s="313">
        <v>87</v>
      </c>
      <c r="F77" s="313">
        <v>87</v>
      </c>
      <c r="G77" s="544" t="s">
        <v>611</v>
      </c>
    </row>
    <row r="78" ht="9.75">
      <c r="A78" s="330"/>
    </row>
    <row r="79" spans="1:9" ht="20.25">
      <c r="A79" s="224" t="s">
        <v>204</v>
      </c>
      <c r="B79" s="224" t="s">
        <v>227</v>
      </c>
      <c r="C79" s="224" t="s">
        <v>228</v>
      </c>
      <c r="D79" s="224" t="s">
        <v>30</v>
      </c>
      <c r="E79" s="224" t="s">
        <v>31</v>
      </c>
      <c r="F79" s="224" t="s">
        <v>32</v>
      </c>
      <c r="G79" s="224" t="s">
        <v>33</v>
      </c>
      <c r="H79" s="224" t="s">
        <v>34</v>
      </c>
      <c r="I79" s="224" t="s">
        <v>35</v>
      </c>
    </row>
    <row r="80" spans="1:9" ht="9.75">
      <c r="A80" s="279">
        <v>12037192</v>
      </c>
      <c r="B80" s="279">
        <v>250000</v>
      </c>
      <c r="C80" s="279">
        <v>7808301</v>
      </c>
      <c r="D80" s="279">
        <v>3869194</v>
      </c>
      <c r="E80" s="279">
        <v>17387399</v>
      </c>
      <c r="F80" s="279">
        <v>4259983</v>
      </c>
      <c r="G80" s="279">
        <v>13127416</v>
      </c>
      <c r="H80" s="279">
        <v>5350207</v>
      </c>
      <c r="I80" s="279">
        <v>29000270</v>
      </c>
    </row>
    <row r="81" spans="1:9" ht="9.75">
      <c r="A81" s="279">
        <v>1296665</v>
      </c>
      <c r="B81" s="279">
        <v>61950</v>
      </c>
      <c r="C81" s="279">
        <v>1866478</v>
      </c>
      <c r="D81" s="279">
        <v>-637876</v>
      </c>
      <c r="E81" s="279">
        <v>3445841</v>
      </c>
      <c r="F81" s="279">
        <v>377566</v>
      </c>
      <c r="G81" s="279">
        <v>3068275</v>
      </c>
      <c r="H81" s="279">
        <v>2149176</v>
      </c>
      <c r="I81" s="279">
        <v>8025480</v>
      </c>
    </row>
    <row r="82" spans="1:9" ht="9.75">
      <c r="A82" s="279">
        <v>124482</v>
      </c>
      <c r="B82" s="279">
        <v>800000</v>
      </c>
      <c r="C82" s="279">
        <v>5202</v>
      </c>
      <c r="D82" s="279">
        <v>170352</v>
      </c>
      <c r="E82" s="279">
        <v>382188</v>
      </c>
      <c r="F82" s="279">
        <v>70739</v>
      </c>
      <c r="G82" s="279">
        <v>311449</v>
      </c>
      <c r="H82" s="316">
        <v>257706</v>
      </c>
      <c r="I82" s="316">
        <v>740320</v>
      </c>
    </row>
    <row r="83" spans="1:9" ht="9.75">
      <c r="A83" s="279">
        <v>-120703</v>
      </c>
      <c r="B83" s="279">
        <v>104272</v>
      </c>
      <c r="C83" s="279">
        <v>0</v>
      </c>
      <c r="D83" s="279">
        <v>-86862</v>
      </c>
      <c r="E83" s="279">
        <v>63936</v>
      </c>
      <c r="F83" s="279">
        <v>1084</v>
      </c>
      <c r="G83" s="279">
        <v>62852</v>
      </c>
      <c r="H83" s="316">
        <v>184639</v>
      </c>
      <c r="I83" s="316">
        <v>0</v>
      </c>
    </row>
    <row r="84" spans="1:9" ht="9.75">
      <c r="A84" s="279">
        <v>2210</v>
      </c>
      <c r="B84" s="279">
        <v>10000</v>
      </c>
      <c r="C84" s="279">
        <v>0</v>
      </c>
      <c r="D84" s="279">
        <v>-5809</v>
      </c>
      <c r="E84" s="279">
        <v>2597</v>
      </c>
      <c r="F84" s="279">
        <v>0</v>
      </c>
      <c r="G84" s="279">
        <v>2597</v>
      </c>
      <c r="H84" s="316">
        <v>387</v>
      </c>
      <c r="I84" s="316">
        <v>3500</v>
      </c>
    </row>
    <row r="85" spans="1:9" ht="9.75">
      <c r="A85" s="279">
        <v>-41437</v>
      </c>
      <c r="B85" s="279">
        <v>5100</v>
      </c>
      <c r="C85" s="279">
        <v>47467</v>
      </c>
      <c r="D85" s="279">
        <v>-94004</v>
      </c>
      <c r="E85" s="279">
        <v>285878</v>
      </c>
      <c r="F85" s="279">
        <v>6357</v>
      </c>
      <c r="G85" s="279">
        <v>279521</v>
      </c>
      <c r="H85" s="316">
        <f>250929+76386</f>
        <v>327315</v>
      </c>
      <c r="I85" s="316">
        <v>308696</v>
      </c>
    </row>
    <row r="86" ht="9.75">
      <c r="A86" s="331"/>
    </row>
    <row r="87" ht="9.75">
      <c r="A87" s="73" t="s">
        <v>849</v>
      </c>
    </row>
    <row r="88" ht="9.75">
      <c r="A88" s="310"/>
    </row>
    <row r="89" spans="1:7" s="329" customFormat="1" ht="30">
      <c r="A89" s="224" t="s">
        <v>23</v>
      </c>
      <c r="B89" s="224" t="s">
        <v>24</v>
      </c>
      <c r="C89" s="224" t="s">
        <v>25</v>
      </c>
      <c r="D89" s="224" t="s">
        <v>26</v>
      </c>
      <c r="E89" s="224" t="s">
        <v>27</v>
      </c>
      <c r="F89" s="224" t="s">
        <v>28</v>
      </c>
      <c r="G89" s="224" t="s">
        <v>29</v>
      </c>
    </row>
    <row r="90" spans="1:7" ht="9.75">
      <c r="A90" s="65"/>
      <c r="B90" s="316"/>
      <c r="C90" s="279"/>
      <c r="D90" s="279"/>
      <c r="E90" s="313"/>
      <c r="F90" s="313"/>
      <c r="G90" s="544"/>
    </row>
    <row r="91" spans="1:7" ht="9.75">
      <c r="A91" s="312"/>
      <c r="B91" s="316"/>
      <c r="C91" s="279"/>
      <c r="D91" s="279"/>
      <c r="E91" s="313"/>
      <c r="F91" s="313"/>
      <c r="G91" s="313"/>
    </row>
    <row r="92" spans="1:7" ht="9.75">
      <c r="A92" s="312"/>
      <c r="B92" s="316"/>
      <c r="C92" s="279"/>
      <c r="D92" s="279"/>
      <c r="E92" s="313"/>
      <c r="F92" s="313"/>
      <c r="G92" s="313"/>
    </row>
    <row r="93" ht="9.75">
      <c r="A93" s="331"/>
    </row>
    <row r="94" ht="9.75">
      <c r="A94" s="331"/>
    </row>
    <row r="95" spans="1:9" s="329" customFormat="1" ht="20.25">
      <c r="A95" s="224" t="s">
        <v>204</v>
      </c>
      <c r="B95" s="224" t="s">
        <v>227</v>
      </c>
      <c r="C95" s="224" t="s">
        <v>228</v>
      </c>
      <c r="D95" s="224" t="s">
        <v>30</v>
      </c>
      <c r="E95" s="224" t="s">
        <v>31</v>
      </c>
      <c r="F95" s="224" t="s">
        <v>32</v>
      </c>
      <c r="G95" s="224" t="s">
        <v>33</v>
      </c>
      <c r="H95" s="224" t="s">
        <v>34</v>
      </c>
      <c r="I95" s="224" t="s">
        <v>35</v>
      </c>
    </row>
    <row r="96" spans="1:9" ht="9.75">
      <c r="A96" s="316"/>
      <c r="B96" s="279"/>
      <c r="C96" s="279"/>
      <c r="D96" s="279"/>
      <c r="E96" s="279"/>
      <c r="F96" s="279"/>
      <c r="G96" s="279"/>
      <c r="H96" s="316"/>
      <c r="I96" s="316"/>
    </row>
    <row r="97" spans="1:9" ht="9.75">
      <c r="A97" s="318"/>
      <c r="B97" s="279"/>
      <c r="C97" s="279"/>
      <c r="D97" s="279"/>
      <c r="E97" s="279"/>
      <c r="F97" s="279"/>
      <c r="G97" s="279"/>
      <c r="H97" s="316"/>
      <c r="I97" s="316"/>
    </row>
    <row r="98" spans="1:9" ht="9.75">
      <c r="A98" s="318"/>
      <c r="B98" s="279"/>
      <c r="C98" s="279"/>
      <c r="D98" s="279"/>
      <c r="E98" s="279"/>
      <c r="F98" s="279"/>
      <c r="G98" s="279"/>
      <c r="H98" s="316"/>
      <c r="I98" s="316"/>
    </row>
    <row r="99" ht="9.75">
      <c r="A99" s="331"/>
    </row>
    <row r="100" ht="9.75">
      <c r="A100" s="73" t="s">
        <v>850</v>
      </c>
    </row>
    <row r="101" ht="9.75">
      <c r="A101" s="310"/>
    </row>
    <row r="102" spans="1:7" s="329" customFormat="1" ht="30">
      <c r="A102" s="224" t="s">
        <v>23</v>
      </c>
      <c r="B102" s="224" t="s">
        <v>24</v>
      </c>
      <c r="C102" s="224" t="s">
        <v>25</v>
      </c>
      <c r="D102" s="224" t="s">
        <v>26</v>
      </c>
      <c r="E102" s="224" t="s">
        <v>27</v>
      </c>
      <c r="F102" s="224" t="s">
        <v>28</v>
      </c>
      <c r="G102" s="224" t="s">
        <v>29</v>
      </c>
    </row>
    <row r="103" spans="1:7" ht="9.75">
      <c r="A103" s="65"/>
      <c r="B103" s="316"/>
      <c r="C103" s="279"/>
      <c r="D103" s="279"/>
      <c r="E103" s="313"/>
      <c r="F103" s="313"/>
      <c r="G103" s="544"/>
    </row>
    <row r="104" spans="1:7" ht="9.75">
      <c r="A104" s="312"/>
      <c r="B104" s="316"/>
      <c r="C104" s="279"/>
      <c r="D104" s="279"/>
      <c r="E104" s="313"/>
      <c r="F104" s="313"/>
      <c r="G104" s="313"/>
    </row>
    <row r="105" spans="1:7" ht="9.75">
      <c r="A105" s="312"/>
      <c r="B105" s="316"/>
      <c r="C105" s="279"/>
      <c r="D105" s="279"/>
      <c r="E105" s="313"/>
      <c r="F105" s="313"/>
      <c r="G105" s="313"/>
    </row>
    <row r="106" spans="1:4" ht="9.75">
      <c r="A106" s="331"/>
      <c r="B106" s="389"/>
      <c r="C106" s="389"/>
      <c r="D106" s="389"/>
    </row>
    <row r="107" ht="9.75">
      <c r="A107" s="331"/>
    </row>
    <row r="108" spans="1:9" s="329" customFormat="1" ht="20.25">
      <c r="A108" s="224" t="s">
        <v>204</v>
      </c>
      <c r="B108" s="224" t="s">
        <v>227</v>
      </c>
      <c r="C108" s="224" t="s">
        <v>228</v>
      </c>
      <c r="D108" s="224" t="s">
        <v>30</v>
      </c>
      <c r="E108" s="224" t="s">
        <v>31</v>
      </c>
      <c r="F108" s="224" t="s">
        <v>32</v>
      </c>
      <c r="G108" s="224" t="s">
        <v>33</v>
      </c>
      <c r="H108" s="224" t="s">
        <v>34</v>
      </c>
      <c r="I108" s="224" t="s">
        <v>35</v>
      </c>
    </row>
    <row r="109" spans="1:9" ht="9.75">
      <c r="A109" s="316"/>
      <c r="B109" s="279"/>
      <c r="C109" s="279"/>
      <c r="D109" s="279"/>
      <c r="E109" s="279"/>
      <c r="F109" s="279"/>
      <c r="G109" s="279"/>
      <c r="H109" s="316"/>
      <c r="I109" s="316"/>
    </row>
    <row r="110" spans="1:9" ht="9.75">
      <c r="A110" s="318"/>
      <c r="B110" s="279"/>
      <c r="C110" s="279"/>
      <c r="D110" s="279"/>
      <c r="E110" s="279"/>
      <c r="F110" s="279"/>
      <c r="G110" s="279"/>
      <c r="H110" s="316"/>
      <c r="I110" s="316"/>
    </row>
    <row r="111" spans="1:9" ht="9.75">
      <c r="A111" s="318"/>
      <c r="B111" s="279"/>
      <c r="C111" s="279"/>
      <c r="D111" s="279"/>
      <c r="E111" s="279"/>
      <c r="F111" s="279"/>
      <c r="G111" s="279"/>
      <c r="H111" s="316"/>
      <c r="I111" s="316"/>
    </row>
    <row r="112" ht="9.75">
      <c r="A112" s="310"/>
    </row>
  </sheetData>
  <sheetProtection/>
  <mergeCells count="1">
    <mergeCell ref="A4:J4"/>
  </mergeCells>
  <printOptions/>
  <pageMargins left="0.75" right="0.75" top="1" bottom="1" header="0.5" footer="0.5"/>
  <pageSetup horizontalDpi="600" verticalDpi="600" orientation="portrait" paperSize="9" scale="61" r:id="rId1"/>
  <rowBreaks count="1" manualBreakCount="1">
    <brk id="93" max="8" man="1"/>
  </rowBreaks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="128" zoomScaleNormal="128" zoomScaleSheetLayoutView="90" zoomScalePageLayoutView="0" workbookViewId="0" topLeftCell="A1">
      <selection activeCell="A85" sqref="A85:IV153"/>
    </sheetView>
  </sheetViews>
  <sheetFormatPr defaultColWidth="9.28125" defaultRowHeight="12.75"/>
  <cols>
    <col min="1" max="1" width="47.421875" style="275" customWidth="1"/>
    <col min="2" max="3" width="14.28125" style="275" customWidth="1"/>
    <col min="4" max="4" width="12.28125" style="275" customWidth="1"/>
    <col min="5" max="5" width="14.57421875" style="275" bestFit="1" customWidth="1"/>
    <col min="6" max="6" width="11.57421875" style="275" customWidth="1"/>
    <col min="7" max="7" width="13.00390625" style="275" customWidth="1"/>
    <col min="8" max="16384" width="9.28125" style="275" customWidth="1"/>
  </cols>
  <sheetData>
    <row r="1" ht="9.75">
      <c r="A1" s="282"/>
    </row>
    <row r="2" s="284" customFormat="1" ht="12.75">
      <c r="A2" s="468" t="s">
        <v>851</v>
      </c>
    </row>
    <row r="3" spans="2:3" s="284" customFormat="1" ht="9.75">
      <c r="B3" s="634"/>
      <c r="C3" s="634"/>
    </row>
    <row r="4" spans="1:3" s="334" customFormat="1" ht="9.75">
      <c r="A4" s="147" t="s">
        <v>424</v>
      </c>
      <c r="B4" s="596">
        <f>'Dane podstawowe'!$B$9</f>
        <v>43465</v>
      </c>
      <c r="C4" s="596">
        <f>'Dane podstawowe'!$B$14</f>
        <v>43100</v>
      </c>
    </row>
    <row r="5" spans="1:3" s="284" customFormat="1" ht="9.75">
      <c r="A5" s="335" t="s">
        <v>36</v>
      </c>
      <c r="B5" s="293">
        <v>628205</v>
      </c>
      <c r="C5" s="293">
        <v>204521</v>
      </c>
    </row>
    <row r="6" spans="1:3" s="284" customFormat="1" ht="9.75">
      <c r="A6" s="335" t="s">
        <v>37</v>
      </c>
      <c r="B6" s="293">
        <v>0</v>
      </c>
      <c r="C6" s="293">
        <v>0</v>
      </c>
    </row>
    <row r="7" spans="1:3" s="284" customFormat="1" ht="12.75" customHeight="1">
      <c r="A7" s="335" t="s">
        <v>554</v>
      </c>
      <c r="B7" s="293">
        <v>0</v>
      </c>
      <c r="C7" s="293">
        <v>0</v>
      </c>
    </row>
    <row r="8" spans="1:3" s="284" customFormat="1" ht="9.75">
      <c r="A8" s="335" t="s">
        <v>38</v>
      </c>
      <c r="B8" s="293">
        <v>0</v>
      </c>
      <c r="C8" s="293">
        <v>0</v>
      </c>
    </row>
    <row r="9" spans="1:3" s="284" customFormat="1" ht="9.75">
      <c r="A9" s="335" t="s">
        <v>39</v>
      </c>
      <c r="B9" s="293">
        <v>0</v>
      </c>
      <c r="C9" s="293">
        <v>0</v>
      </c>
    </row>
    <row r="10" spans="1:3" s="284" customFormat="1" ht="9.75">
      <c r="A10" s="84" t="s">
        <v>462</v>
      </c>
      <c r="B10" s="293">
        <v>0</v>
      </c>
      <c r="C10" s="293">
        <v>0</v>
      </c>
    </row>
    <row r="11" spans="1:3" s="284" customFormat="1" ht="9.75" hidden="1">
      <c r="A11" s="84" t="s">
        <v>463</v>
      </c>
      <c r="B11" s="293"/>
      <c r="C11" s="293"/>
    </row>
    <row r="12" spans="1:3" s="284" customFormat="1" ht="9.75">
      <c r="A12" s="335" t="s">
        <v>40</v>
      </c>
      <c r="B12" s="293">
        <v>0</v>
      </c>
      <c r="C12" s="293">
        <v>0</v>
      </c>
    </row>
    <row r="13" spans="1:3" s="284" customFormat="1" ht="9.75">
      <c r="A13" s="336" t="s">
        <v>389</v>
      </c>
      <c r="B13" s="288">
        <f>B5+SUM(B7:B12)</f>
        <v>628205</v>
      </c>
      <c r="C13" s="288">
        <f>C5+SUM(C7:C12)</f>
        <v>204521</v>
      </c>
    </row>
    <row r="14" spans="2:3" s="284" customFormat="1" ht="9.75">
      <c r="B14" s="344">
        <f>Aktywa!D9-'NOTA 12- Poz. aktywa finansowe'!B13</f>
        <v>0</v>
      </c>
      <c r="C14" s="344">
        <f>Aktywa!E9-'NOTA 12- Poz. aktywa finansowe'!C13</f>
        <v>0</v>
      </c>
    </row>
    <row r="15" spans="2:3" s="284" customFormat="1" ht="9.75">
      <c r="B15" s="634"/>
      <c r="C15" s="634"/>
    </row>
    <row r="16" spans="1:3" s="334" customFormat="1" ht="9.75">
      <c r="A16" s="95" t="s">
        <v>134</v>
      </c>
      <c r="B16" s="596">
        <f>'Dane podstawowe'!$B$9</f>
        <v>43465</v>
      </c>
      <c r="C16" s="596">
        <f>'Dane podstawowe'!$B$14</f>
        <v>43100</v>
      </c>
    </row>
    <row r="17" spans="1:3" s="284" customFormat="1" ht="9.75">
      <c r="A17" s="335" t="s">
        <v>36</v>
      </c>
      <c r="B17" s="293">
        <v>612578</v>
      </c>
      <c r="C17" s="293">
        <v>639190</v>
      </c>
    </row>
    <row r="18" spans="1:3" s="284" customFormat="1" ht="9.75">
      <c r="A18" s="335" t="s">
        <v>37</v>
      </c>
      <c r="B18" s="293">
        <v>0</v>
      </c>
      <c r="C18" s="293">
        <v>501630</v>
      </c>
    </row>
    <row r="19" spans="1:3" s="284" customFormat="1" ht="12.75" customHeight="1">
      <c r="A19" s="335" t="s">
        <v>554</v>
      </c>
      <c r="B19" s="293">
        <v>0</v>
      </c>
      <c r="C19" s="293">
        <v>0</v>
      </c>
    </row>
    <row r="20" spans="1:3" s="284" customFormat="1" ht="9.75">
      <c r="A20" s="335" t="s">
        <v>38</v>
      </c>
      <c r="B20" s="293">
        <v>0</v>
      </c>
      <c r="C20" s="293">
        <v>0</v>
      </c>
    </row>
    <row r="21" spans="1:3" s="284" customFormat="1" ht="9.75">
      <c r="A21" s="335" t="s">
        <v>39</v>
      </c>
      <c r="B21" s="293">
        <v>0</v>
      </c>
      <c r="C21" s="293">
        <v>0</v>
      </c>
    </row>
    <row r="22" spans="1:3" s="284" customFormat="1" ht="9.75">
      <c r="A22" s="153" t="s">
        <v>464</v>
      </c>
      <c r="B22" s="293">
        <v>0</v>
      </c>
      <c r="C22" s="293">
        <v>0</v>
      </c>
    </row>
    <row r="23" spans="1:3" s="284" customFormat="1" ht="9.75">
      <c r="A23" s="335" t="s">
        <v>40</v>
      </c>
      <c r="B23" s="293">
        <v>0</v>
      </c>
      <c r="C23" s="293">
        <v>0</v>
      </c>
    </row>
    <row r="24" spans="1:3" s="284" customFormat="1" ht="9.75">
      <c r="A24" s="336" t="s">
        <v>389</v>
      </c>
      <c r="B24" s="288">
        <f>B17+SUM(B19:B23)</f>
        <v>612578</v>
      </c>
      <c r="C24" s="288">
        <f>C17+SUM(C19:C23)</f>
        <v>639190</v>
      </c>
    </row>
    <row r="25" spans="2:3" s="284" customFormat="1" ht="9.75">
      <c r="B25" s="344">
        <f>Aktywa!D20-'NOTA 12- Poz. aktywa finansowe'!B24</f>
        <v>0</v>
      </c>
      <c r="C25" s="344">
        <f>Aktywa!E20-'NOTA 12- Poz. aktywa finansowe'!C24</f>
        <v>0</v>
      </c>
    </row>
    <row r="27" s="46" customFormat="1" ht="12.75">
      <c r="A27" s="167" t="s">
        <v>55</v>
      </c>
    </row>
    <row r="28" s="46" customFormat="1" ht="12.75">
      <c r="A28" s="166"/>
    </row>
    <row r="29" spans="1:3" s="46" customFormat="1" ht="12.75">
      <c r="A29" s="169"/>
      <c r="B29" s="593">
        <f>'Dane podstawowe'!$B$9</f>
        <v>43465</v>
      </c>
      <c r="C29" s="593">
        <f>'Dane podstawowe'!$B$14</f>
        <v>43100</v>
      </c>
    </row>
    <row r="30" spans="1:3" s="46" customFormat="1" ht="12.75">
      <c r="A30" s="176" t="s">
        <v>56</v>
      </c>
      <c r="B30" s="171">
        <f>1240783+200995</f>
        <v>1441778</v>
      </c>
      <c r="C30" s="171">
        <v>918361</v>
      </c>
    </row>
    <row r="31" spans="1:3" s="46" customFormat="1" ht="12.75">
      <c r="A31" s="138" t="s">
        <v>57</v>
      </c>
      <c r="B31" s="171">
        <v>0</v>
      </c>
      <c r="C31" s="171">
        <v>501630</v>
      </c>
    </row>
    <row r="32" spans="1:3" s="46" customFormat="1" ht="12.75">
      <c r="A32" s="176" t="s">
        <v>725</v>
      </c>
      <c r="B32" s="171">
        <v>200995</v>
      </c>
      <c r="C32" s="171">
        <v>74650</v>
      </c>
    </row>
    <row r="33" spans="1:3" s="46" customFormat="1" ht="12.75">
      <c r="A33" s="177" t="s">
        <v>58</v>
      </c>
      <c r="B33" s="173">
        <f>B30-B32</f>
        <v>1240783</v>
      </c>
      <c r="C33" s="173">
        <f>C30-C32</f>
        <v>843711</v>
      </c>
    </row>
    <row r="34" spans="1:3" s="46" customFormat="1" ht="12.75">
      <c r="A34" s="170" t="s">
        <v>53</v>
      </c>
      <c r="B34" s="172">
        <v>204521</v>
      </c>
      <c r="C34" s="172">
        <v>204521</v>
      </c>
    </row>
    <row r="35" spans="1:3" s="46" customFormat="1" ht="12.75">
      <c r="A35" s="170" t="s">
        <v>54</v>
      </c>
      <c r="B35" s="172">
        <v>639190</v>
      </c>
      <c r="C35" s="172">
        <v>639190</v>
      </c>
    </row>
    <row r="36" spans="1:4" s="46" customFormat="1" ht="12.75">
      <c r="A36" s="167"/>
      <c r="B36" s="383">
        <f>(B17+B5)-B33</f>
        <v>0</v>
      </c>
      <c r="C36" s="383">
        <f>(C17+C5)-C33</f>
        <v>0</v>
      </c>
      <c r="D36" s="100"/>
    </row>
    <row r="37" spans="6:7" s="100" customFormat="1" ht="12.75">
      <c r="F37" s="503"/>
      <c r="G37" s="451"/>
    </row>
    <row r="38" spans="1:7" s="314" customFormat="1" ht="9.75">
      <c r="A38" s="492"/>
      <c r="F38" s="461"/>
      <c r="G38" s="451"/>
    </row>
    <row r="39" s="256" customFormat="1" ht="9.75">
      <c r="A39" s="12" t="s">
        <v>501</v>
      </c>
    </row>
    <row r="40" spans="1:7" s="256" customFormat="1" ht="71.25">
      <c r="A40" s="95" t="str">
        <f>'Dane podstawowe'!B7</f>
        <v>01.01.2018 - 31.12.2018</v>
      </c>
      <c r="B40" s="150" t="s">
        <v>217</v>
      </c>
      <c r="C40" s="95" t="s">
        <v>305</v>
      </c>
      <c r="D40" s="95" t="s">
        <v>213</v>
      </c>
      <c r="E40" s="95" t="s">
        <v>303</v>
      </c>
      <c r="F40" s="95" t="s">
        <v>302</v>
      </c>
      <c r="G40" s="95" t="s">
        <v>304</v>
      </c>
    </row>
    <row r="41" spans="1:7" s="256" customFormat="1" ht="9.75">
      <c r="A41" s="91" t="s">
        <v>839</v>
      </c>
      <c r="B41" s="193">
        <f>B82</f>
        <v>0</v>
      </c>
      <c r="C41" s="193">
        <f>C82</f>
        <v>0</v>
      </c>
      <c r="D41" s="193">
        <f>D82</f>
        <v>0</v>
      </c>
      <c r="E41" s="193">
        <v>843711</v>
      </c>
      <c r="F41" s="193">
        <f>F82</f>
        <v>0</v>
      </c>
      <c r="G41" s="193">
        <v>2453</v>
      </c>
    </row>
    <row r="42" spans="1:7" s="367" customFormat="1" ht="9.75">
      <c r="A42" s="365" t="s">
        <v>74</v>
      </c>
      <c r="B42" s="366">
        <f aca="true" t="shared" si="0" ref="B42:G42">SUM(B43:B50)</f>
        <v>0</v>
      </c>
      <c r="C42" s="366">
        <f t="shared" si="0"/>
        <v>0</v>
      </c>
      <c r="D42" s="366">
        <f t="shared" si="0"/>
        <v>0</v>
      </c>
      <c r="E42" s="366">
        <f t="shared" si="0"/>
        <v>844417</v>
      </c>
      <c r="F42" s="366">
        <f t="shared" si="0"/>
        <v>0</v>
      </c>
      <c r="G42" s="366">
        <f t="shared" si="0"/>
        <v>281326</v>
      </c>
    </row>
    <row r="43" spans="1:7" s="256" customFormat="1" ht="9.75" hidden="1">
      <c r="A43" s="66" t="s">
        <v>503</v>
      </c>
      <c r="B43" s="368">
        <v>0</v>
      </c>
      <c r="C43" s="196">
        <v>0</v>
      </c>
      <c r="D43" s="196">
        <v>0</v>
      </c>
      <c r="E43" s="196">
        <v>0</v>
      </c>
      <c r="F43" s="217">
        <v>0</v>
      </c>
      <c r="G43" s="217">
        <v>0</v>
      </c>
    </row>
    <row r="44" spans="1:7" s="256" customFormat="1" ht="9.75">
      <c r="A44" s="66" t="s">
        <v>504</v>
      </c>
      <c r="B44" s="369">
        <v>0</v>
      </c>
      <c r="C44" s="196">
        <v>0</v>
      </c>
      <c r="D44" s="196">
        <v>0</v>
      </c>
      <c r="E44" s="196">
        <v>794468</v>
      </c>
      <c r="F44" s="217">
        <v>0</v>
      </c>
      <c r="G44" s="217">
        <v>0</v>
      </c>
    </row>
    <row r="45" spans="1:7" s="256" customFormat="1" ht="9.75">
      <c r="A45" s="66" t="s">
        <v>726</v>
      </c>
      <c r="B45" s="368">
        <v>0</v>
      </c>
      <c r="C45" s="196">
        <v>0</v>
      </c>
      <c r="D45" s="196">
        <v>0</v>
      </c>
      <c r="E45" s="196">
        <v>0</v>
      </c>
      <c r="F45" s="217">
        <v>0</v>
      </c>
      <c r="G45" s="217">
        <v>0</v>
      </c>
    </row>
    <row r="46" spans="1:7" s="256" customFormat="1" ht="9.75">
      <c r="A46" s="65" t="s">
        <v>838</v>
      </c>
      <c r="B46" s="368">
        <v>0</v>
      </c>
      <c r="C46" s="196">
        <v>0</v>
      </c>
      <c r="D46" s="196">
        <v>0</v>
      </c>
      <c r="E46" s="196">
        <v>0</v>
      </c>
      <c r="F46" s="217">
        <v>0</v>
      </c>
      <c r="G46" s="217">
        <v>281326</v>
      </c>
    </row>
    <row r="47" spans="1:7" s="256" customFormat="1" ht="9.75" hidden="1">
      <c r="A47" s="65" t="s">
        <v>727</v>
      </c>
      <c r="B47" s="368"/>
      <c r="C47" s="196"/>
      <c r="D47" s="196"/>
      <c r="E47" s="196"/>
      <c r="F47" s="217"/>
      <c r="G47" s="217"/>
    </row>
    <row r="48" spans="1:7" s="256" customFormat="1" ht="9.75">
      <c r="A48" s="65" t="s">
        <v>76</v>
      </c>
      <c r="B48" s="369">
        <v>0</v>
      </c>
      <c r="C48" s="106">
        <v>0</v>
      </c>
      <c r="D48" s="106">
        <v>0</v>
      </c>
      <c r="E48" s="106">
        <v>2545</v>
      </c>
      <c r="F48" s="216">
        <v>0</v>
      </c>
      <c r="G48" s="216">
        <v>0</v>
      </c>
    </row>
    <row r="49" spans="1:7" s="256" customFormat="1" ht="9.75">
      <c r="A49" s="360" t="s">
        <v>730</v>
      </c>
      <c r="B49" s="369">
        <v>0</v>
      </c>
      <c r="C49" s="106">
        <v>0</v>
      </c>
      <c r="D49" s="106">
        <v>0</v>
      </c>
      <c r="E49" s="106">
        <v>47404</v>
      </c>
      <c r="F49" s="216">
        <v>0</v>
      </c>
      <c r="G49" s="193">
        <v>0</v>
      </c>
    </row>
    <row r="50" spans="1:7" s="256" customFormat="1" ht="9.75" hidden="1">
      <c r="A50" s="360" t="s">
        <v>731</v>
      </c>
      <c r="B50" s="369">
        <v>0</v>
      </c>
      <c r="C50" s="106">
        <v>0</v>
      </c>
      <c r="D50" s="106">
        <v>0</v>
      </c>
      <c r="E50" s="196">
        <v>0</v>
      </c>
      <c r="F50" s="216">
        <v>0</v>
      </c>
      <c r="G50" s="216">
        <v>0</v>
      </c>
    </row>
    <row r="51" spans="1:7" s="367" customFormat="1" ht="9.75">
      <c r="A51" s="371" t="s">
        <v>506</v>
      </c>
      <c r="B51" s="372">
        <f aca="true" t="shared" si="1" ref="B51:G51">SUM(B52:B58)</f>
        <v>0</v>
      </c>
      <c r="C51" s="372">
        <f t="shared" si="1"/>
        <v>0</v>
      </c>
      <c r="D51" s="372">
        <f t="shared" si="1"/>
        <v>0</v>
      </c>
      <c r="E51" s="372">
        <f t="shared" si="1"/>
        <v>447347</v>
      </c>
      <c r="F51" s="372">
        <f t="shared" si="1"/>
        <v>0</v>
      </c>
      <c r="G51" s="372">
        <f t="shared" si="1"/>
        <v>81033</v>
      </c>
    </row>
    <row r="52" spans="1:7" s="256" customFormat="1" ht="9.75" hidden="1">
      <c r="A52" s="66" t="s">
        <v>728</v>
      </c>
      <c r="B52" s="369">
        <v>0</v>
      </c>
      <c r="C52" s="106">
        <v>0</v>
      </c>
      <c r="D52" s="106">
        <v>0</v>
      </c>
      <c r="E52" s="106">
        <v>0</v>
      </c>
      <c r="F52" s="216">
        <v>0</v>
      </c>
      <c r="G52" s="216">
        <v>0</v>
      </c>
    </row>
    <row r="53" spans="1:7" s="256" customFormat="1" ht="9.75">
      <c r="A53" s="66" t="s">
        <v>582</v>
      </c>
      <c r="B53" s="369">
        <v>0</v>
      </c>
      <c r="C53" s="106">
        <v>0</v>
      </c>
      <c r="D53" s="106">
        <v>0</v>
      </c>
      <c r="E53" s="106">
        <v>320284</v>
      </c>
      <c r="F53" s="216">
        <v>0</v>
      </c>
      <c r="G53" s="216"/>
    </row>
    <row r="54" spans="1:7" s="256" customFormat="1" ht="9.75">
      <c r="A54" s="66" t="s">
        <v>729</v>
      </c>
      <c r="B54" s="369">
        <v>0</v>
      </c>
      <c r="C54" s="106">
        <v>0</v>
      </c>
      <c r="D54" s="106">
        <v>0</v>
      </c>
      <c r="E54" s="106">
        <v>0</v>
      </c>
      <c r="F54" s="216">
        <v>0</v>
      </c>
      <c r="G54" s="216">
        <v>81033</v>
      </c>
    </row>
    <row r="55" spans="1:7" s="256" customFormat="1" ht="9.75">
      <c r="A55" s="145" t="s">
        <v>135</v>
      </c>
      <c r="B55" s="369">
        <v>0</v>
      </c>
      <c r="C55" s="106">
        <v>0</v>
      </c>
      <c r="D55" s="106">
        <v>0</v>
      </c>
      <c r="E55" s="106">
        <v>126345</v>
      </c>
      <c r="F55" s="216">
        <v>0</v>
      </c>
      <c r="G55" s="216">
        <v>0</v>
      </c>
    </row>
    <row r="56" spans="1:7" s="256" customFormat="1" ht="9.75" hidden="1">
      <c r="A56" s="65" t="s">
        <v>75</v>
      </c>
      <c r="B56" s="369"/>
      <c r="C56" s="106"/>
      <c r="D56" s="106"/>
      <c r="E56" s="106"/>
      <c r="F56" s="216"/>
      <c r="G56" s="216"/>
    </row>
    <row r="57" spans="1:7" s="256" customFormat="1" ht="9.75" hidden="1">
      <c r="A57" s="65" t="s">
        <v>76</v>
      </c>
      <c r="B57" s="369">
        <v>0</v>
      </c>
      <c r="C57" s="106">
        <v>0</v>
      </c>
      <c r="D57" s="106">
        <v>0</v>
      </c>
      <c r="E57" s="106">
        <v>0</v>
      </c>
      <c r="F57" s="216">
        <v>0</v>
      </c>
      <c r="G57" s="216">
        <v>0</v>
      </c>
    </row>
    <row r="58" spans="1:7" s="256" customFormat="1" ht="9.75">
      <c r="A58" s="360" t="s">
        <v>731</v>
      </c>
      <c r="B58" s="369">
        <v>0</v>
      </c>
      <c r="C58" s="106">
        <v>0</v>
      </c>
      <c r="D58" s="106">
        <v>0</v>
      </c>
      <c r="E58" s="106">
        <v>718</v>
      </c>
      <c r="F58" s="216">
        <v>0</v>
      </c>
      <c r="G58" s="216">
        <v>0</v>
      </c>
    </row>
    <row r="59" spans="1:7" s="256" customFormat="1" ht="9.75">
      <c r="A59" s="91" t="s">
        <v>22</v>
      </c>
      <c r="B59" s="370">
        <f aca="true" t="shared" si="2" ref="B59:G59">SUM(B41:B42,-B51)</f>
        <v>0</v>
      </c>
      <c r="C59" s="193">
        <f t="shared" si="2"/>
        <v>0</v>
      </c>
      <c r="D59" s="193">
        <f t="shared" si="2"/>
        <v>0</v>
      </c>
      <c r="E59" s="193">
        <f t="shared" si="2"/>
        <v>1240781</v>
      </c>
      <c r="F59" s="193">
        <f t="shared" si="2"/>
        <v>0</v>
      </c>
      <c r="G59" s="193">
        <f t="shared" si="2"/>
        <v>202746</v>
      </c>
    </row>
    <row r="60" spans="1:7" s="256" customFormat="1" ht="9.75">
      <c r="A60" s="127"/>
      <c r="B60" s="373"/>
      <c r="C60" s="373"/>
      <c r="D60" s="373"/>
      <c r="E60" s="373"/>
      <c r="F60" s="373"/>
      <c r="G60" s="373"/>
    </row>
    <row r="61" s="256" customFormat="1" ht="9.75"/>
    <row r="62" spans="1:7" s="256" customFormat="1" ht="71.25">
      <c r="A62" s="95" t="str">
        <f>'Dane podstawowe'!B12</f>
        <v>01.01.2017 - 31.12.2017</v>
      </c>
      <c r="B62" s="150" t="s">
        <v>217</v>
      </c>
      <c r="C62" s="95" t="s">
        <v>305</v>
      </c>
      <c r="D62" s="95" t="s">
        <v>213</v>
      </c>
      <c r="E62" s="95" t="s">
        <v>303</v>
      </c>
      <c r="F62" s="95" t="s">
        <v>302</v>
      </c>
      <c r="G62" s="95" t="s">
        <v>304</v>
      </c>
    </row>
    <row r="63" spans="1:7" s="256" customFormat="1" ht="9.75">
      <c r="A63" s="91" t="s">
        <v>502</v>
      </c>
      <c r="B63" s="193">
        <v>0</v>
      </c>
      <c r="C63" s="193">
        <v>0</v>
      </c>
      <c r="D63" s="193">
        <v>0</v>
      </c>
      <c r="E63" s="193">
        <v>105946</v>
      </c>
      <c r="F63" s="193">
        <v>0</v>
      </c>
      <c r="G63" s="193">
        <v>38751</v>
      </c>
    </row>
    <row r="64" spans="1:11" s="367" customFormat="1" ht="9.75">
      <c r="A64" s="365" t="s">
        <v>74</v>
      </c>
      <c r="B64" s="366">
        <f>SUM(B65:B71)</f>
        <v>0</v>
      </c>
      <c r="C64" s="366">
        <f>SUM(C65:C71)</f>
        <v>0</v>
      </c>
      <c r="D64" s="366">
        <f>SUM(D65:D71)</f>
        <v>0</v>
      </c>
      <c r="E64" s="366">
        <f>SUM(E65:E73)</f>
        <v>1017812</v>
      </c>
      <c r="F64" s="366">
        <f>SUM(F65:F73)</f>
        <v>0</v>
      </c>
      <c r="G64" s="366">
        <f>SUM(G65:G73)</f>
        <v>0</v>
      </c>
      <c r="H64" s="256"/>
      <c r="I64" s="256"/>
      <c r="J64" s="256"/>
      <c r="K64" s="256"/>
    </row>
    <row r="65" spans="1:7" s="256" customFormat="1" ht="9.75" hidden="1">
      <c r="A65" s="66" t="s">
        <v>503</v>
      </c>
      <c r="B65" s="368"/>
      <c r="C65" s="196"/>
      <c r="D65" s="196"/>
      <c r="E65" s="196"/>
      <c r="F65" s="217"/>
      <c r="G65" s="217"/>
    </row>
    <row r="66" spans="1:7" s="256" customFormat="1" ht="9.75">
      <c r="A66" s="66" t="s">
        <v>504</v>
      </c>
      <c r="B66" s="369"/>
      <c r="C66" s="196"/>
      <c r="D66" s="196"/>
      <c r="E66" s="196">
        <v>1002016</v>
      </c>
      <c r="F66" s="217"/>
      <c r="G66" s="217"/>
    </row>
    <row r="67" spans="1:7" s="256" customFormat="1" ht="10.5" customHeight="1" hidden="1">
      <c r="A67" s="66" t="s">
        <v>505</v>
      </c>
      <c r="B67" s="368"/>
      <c r="C67" s="196"/>
      <c r="D67" s="196"/>
      <c r="E67" s="196"/>
      <c r="F67" s="217"/>
      <c r="G67" s="217"/>
    </row>
    <row r="68" spans="1:7" s="256" customFormat="1" ht="9.75">
      <c r="A68" s="66" t="s">
        <v>726</v>
      </c>
      <c r="B68" s="368"/>
      <c r="C68" s="196"/>
      <c r="D68" s="196"/>
      <c r="E68" s="196"/>
      <c r="F68" s="217"/>
      <c r="G68" s="217"/>
    </row>
    <row r="69" spans="1:7" s="256" customFormat="1" ht="9.75">
      <c r="A69" s="65" t="s">
        <v>838</v>
      </c>
      <c r="B69" s="368"/>
      <c r="C69" s="196"/>
      <c r="D69" s="196"/>
      <c r="E69" s="196"/>
      <c r="F69" s="217"/>
      <c r="G69" s="217"/>
    </row>
    <row r="70" spans="1:7" s="256" customFormat="1" ht="9.75" hidden="1">
      <c r="A70" s="65" t="s">
        <v>727</v>
      </c>
      <c r="B70" s="370"/>
      <c r="C70" s="104"/>
      <c r="D70" s="104"/>
      <c r="E70" s="106"/>
      <c r="F70" s="193"/>
      <c r="G70" s="193"/>
    </row>
    <row r="71" spans="1:7" s="256" customFormat="1" ht="9.75">
      <c r="A71" s="65" t="s">
        <v>76</v>
      </c>
      <c r="B71" s="369"/>
      <c r="C71" s="104"/>
      <c r="D71" s="104"/>
      <c r="E71" s="106"/>
      <c r="F71" s="193"/>
      <c r="G71" s="193"/>
    </row>
    <row r="72" spans="1:7" s="256" customFormat="1" ht="9.75">
      <c r="A72" s="360" t="s">
        <v>730</v>
      </c>
      <c r="B72" s="369"/>
      <c r="C72" s="104"/>
      <c r="D72" s="104"/>
      <c r="E72" s="106">
        <v>15078</v>
      </c>
      <c r="F72" s="193"/>
      <c r="G72" s="193"/>
    </row>
    <row r="73" spans="1:7" s="256" customFormat="1" ht="9.75">
      <c r="A73" s="360" t="s">
        <v>731</v>
      </c>
      <c r="B73" s="369"/>
      <c r="C73" s="104"/>
      <c r="D73" s="104"/>
      <c r="E73" s="106">
        <v>718</v>
      </c>
      <c r="F73" s="193"/>
      <c r="G73" s="193"/>
    </row>
    <row r="74" spans="1:7" s="367" customFormat="1" ht="9.75">
      <c r="A74" s="371" t="s">
        <v>506</v>
      </c>
      <c r="B74" s="372">
        <f aca="true" t="shared" si="3" ref="B74:G74">SUM(B75:B81)</f>
        <v>0</v>
      </c>
      <c r="C74" s="372">
        <f t="shared" si="3"/>
        <v>0</v>
      </c>
      <c r="D74" s="372">
        <f t="shared" si="3"/>
        <v>0</v>
      </c>
      <c r="E74" s="372">
        <f t="shared" si="3"/>
        <v>280047</v>
      </c>
      <c r="F74" s="372">
        <f t="shared" si="3"/>
        <v>0</v>
      </c>
      <c r="G74" s="372">
        <f t="shared" si="3"/>
        <v>36298</v>
      </c>
    </row>
    <row r="75" spans="1:7" s="256" customFormat="1" ht="9.75">
      <c r="A75" s="66" t="s">
        <v>582</v>
      </c>
      <c r="B75" s="369"/>
      <c r="C75" s="106"/>
      <c r="D75" s="106"/>
      <c r="E75" s="106">
        <v>200874</v>
      </c>
      <c r="F75" s="216"/>
      <c r="G75" s="216"/>
    </row>
    <row r="76" spans="1:7" s="256" customFormat="1" ht="9.75">
      <c r="A76" s="66" t="s">
        <v>729</v>
      </c>
      <c r="B76" s="369"/>
      <c r="C76" s="106"/>
      <c r="D76" s="106"/>
      <c r="E76" s="106"/>
      <c r="F76" s="216"/>
      <c r="G76" s="216">
        <v>36298</v>
      </c>
    </row>
    <row r="77" spans="1:7" s="256" customFormat="1" ht="9.75">
      <c r="A77" s="145" t="s">
        <v>135</v>
      </c>
      <c r="B77" s="369"/>
      <c r="C77" s="106"/>
      <c r="D77" s="106"/>
      <c r="E77" s="106">
        <v>74650</v>
      </c>
      <c r="F77" s="216"/>
      <c r="G77" s="216"/>
    </row>
    <row r="78" spans="1:7" s="256" customFormat="1" ht="9.75" hidden="1">
      <c r="A78" s="65" t="s">
        <v>75</v>
      </c>
      <c r="B78" s="369"/>
      <c r="C78" s="106"/>
      <c r="D78" s="106"/>
      <c r="E78" s="106"/>
      <c r="F78" s="216"/>
      <c r="G78" s="216"/>
    </row>
    <row r="79" spans="1:7" s="256" customFormat="1" ht="9.75" hidden="1">
      <c r="A79" s="65" t="s">
        <v>76</v>
      </c>
      <c r="B79" s="369"/>
      <c r="C79" s="106"/>
      <c r="D79" s="106"/>
      <c r="E79" s="106"/>
      <c r="F79" s="216"/>
      <c r="G79" s="216"/>
    </row>
    <row r="80" spans="1:7" s="256" customFormat="1" ht="9.75">
      <c r="A80" s="360" t="s">
        <v>731</v>
      </c>
      <c r="B80" s="369"/>
      <c r="C80" s="106"/>
      <c r="D80" s="106"/>
      <c r="E80" s="106">
        <v>4523</v>
      </c>
      <c r="F80" s="216"/>
      <c r="G80" s="216"/>
    </row>
    <row r="81" spans="1:7" s="256" customFormat="1" ht="9.75" hidden="1">
      <c r="A81" s="360" t="s">
        <v>654</v>
      </c>
      <c r="B81" s="369"/>
      <c r="C81" s="106"/>
      <c r="D81" s="106"/>
      <c r="E81" s="106"/>
      <c r="F81" s="216"/>
      <c r="G81" s="216"/>
    </row>
    <row r="82" spans="1:7" s="256" customFormat="1" ht="9.75">
      <c r="A82" s="91" t="s">
        <v>22</v>
      </c>
      <c r="B82" s="370">
        <f aca="true" t="shared" si="4" ref="B82:G82">SUM(B63:B64,-B74)</f>
        <v>0</v>
      </c>
      <c r="C82" s="193">
        <f t="shared" si="4"/>
        <v>0</v>
      </c>
      <c r="D82" s="193">
        <f t="shared" si="4"/>
        <v>0</v>
      </c>
      <c r="E82" s="193">
        <f t="shared" si="4"/>
        <v>843711</v>
      </c>
      <c r="F82" s="193">
        <f t="shared" si="4"/>
        <v>0</v>
      </c>
      <c r="G82" s="193">
        <f t="shared" si="4"/>
        <v>2453</v>
      </c>
    </row>
    <row r="83" spans="2:7" s="256" customFormat="1" ht="9.75">
      <c r="B83" s="504"/>
      <c r="C83" s="504"/>
      <c r="D83" s="504"/>
      <c r="E83" s="504"/>
      <c r="F83" s="504"/>
      <c r="G83" s="504"/>
    </row>
    <row r="84" spans="6:7" s="100" customFormat="1" ht="12.75">
      <c r="F84" s="503"/>
      <c r="G84" s="451"/>
    </row>
    <row r="85" spans="1:3" s="46" customFormat="1" ht="12.75">
      <c r="A85" s="267"/>
      <c r="B85" s="273"/>
      <c r="C85" s="273"/>
    </row>
  </sheetData>
  <sheetProtection/>
  <mergeCells count="2">
    <mergeCell ref="B3:C3"/>
    <mergeCell ref="B15:C1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8"/>
  <sheetViews>
    <sheetView showGridLines="0" view="pageBreakPreview" zoomScaleSheetLayoutView="100" zoomScalePageLayoutView="0" workbookViewId="0" topLeftCell="A71">
      <selection activeCell="F96" sqref="F96"/>
    </sheetView>
  </sheetViews>
  <sheetFormatPr defaultColWidth="9.28125" defaultRowHeight="12.75"/>
  <cols>
    <col min="1" max="1" width="54.7109375" style="275" customWidth="1"/>
    <col min="2" max="2" width="11.57421875" style="275" customWidth="1"/>
    <col min="3" max="3" width="11.28125" style="275" customWidth="1"/>
    <col min="4" max="4" width="9.28125" style="275" customWidth="1"/>
    <col min="5" max="5" width="10.00390625" style="275" customWidth="1"/>
    <col min="6" max="16384" width="9.28125" style="275" customWidth="1"/>
  </cols>
  <sheetData>
    <row r="1" ht="9.75">
      <c r="A1" s="282"/>
    </row>
    <row r="2" s="477" customFormat="1" ht="12.75">
      <c r="A2" s="507" t="s">
        <v>852</v>
      </c>
    </row>
    <row r="3" spans="2:4" s="284" customFormat="1" ht="9.75">
      <c r="B3" s="634"/>
      <c r="C3" s="634"/>
      <c r="D3" s="634"/>
    </row>
    <row r="4" spans="1:4" s="284" customFormat="1" ht="9.75">
      <c r="A4" s="305" t="s">
        <v>381</v>
      </c>
      <c r="B4" s="596">
        <f>'Dane podstawowe'!$B$9</f>
        <v>43465</v>
      </c>
      <c r="C4" s="596">
        <f>'Dane podstawowe'!$B$14</f>
        <v>43100</v>
      </c>
      <c r="D4" s="340"/>
    </row>
    <row r="5" spans="1:4" s="284" customFormat="1" ht="9.75">
      <c r="A5" s="315" t="s">
        <v>44</v>
      </c>
      <c r="B5" s="123">
        <f>SUM(B6:B7)</f>
        <v>1864948</v>
      </c>
      <c r="C5" s="123">
        <f>SUM(C6:C7)</f>
        <v>1770705</v>
      </c>
      <c r="D5" s="340"/>
    </row>
    <row r="6" spans="1:4" s="284" customFormat="1" ht="9.75">
      <c r="A6" s="341" t="s">
        <v>265</v>
      </c>
      <c r="B6" s="199">
        <v>530487</v>
      </c>
      <c r="C6" s="199">
        <v>252083</v>
      </c>
      <c r="D6" s="340"/>
    </row>
    <row r="7" spans="1:4" s="284" customFormat="1" ht="9.75">
      <c r="A7" s="342" t="s">
        <v>266</v>
      </c>
      <c r="B7" s="199">
        <v>1334461</v>
      </c>
      <c r="C7" s="199">
        <v>1518622</v>
      </c>
      <c r="D7" s="340"/>
    </row>
    <row r="8" spans="1:4" s="284" customFormat="1" ht="9.75">
      <c r="A8" s="333" t="s">
        <v>123</v>
      </c>
      <c r="B8" s="199">
        <v>415871</v>
      </c>
      <c r="C8" s="199">
        <v>358260</v>
      </c>
      <c r="D8" s="340"/>
    </row>
    <row r="9" spans="1:4" s="284" customFormat="1" ht="9.75">
      <c r="A9" s="315" t="s">
        <v>264</v>
      </c>
      <c r="B9" s="123">
        <f>B5+B8</f>
        <v>2280819</v>
      </c>
      <c r="C9" s="123">
        <f>C5+C8</f>
        <v>2128965</v>
      </c>
      <c r="D9" s="340"/>
    </row>
    <row r="10" spans="1:4" s="284" customFormat="1" ht="9.75">
      <c r="A10" s="343"/>
      <c r="B10" s="344">
        <f>Aktywa!D15-B5</f>
        <v>0</v>
      </c>
      <c r="C10" s="344">
        <f>Aktywa!E15-C5</f>
        <v>0</v>
      </c>
      <c r="D10" s="340"/>
    </row>
    <row r="11" spans="1:10" s="284" customFormat="1" ht="9.75">
      <c r="A11" s="345"/>
      <c r="B11" s="345"/>
      <c r="C11" s="345"/>
      <c r="D11" s="345"/>
      <c r="E11" s="345"/>
      <c r="F11" s="345"/>
      <c r="G11" s="345"/>
      <c r="H11" s="303"/>
      <c r="I11" s="303"/>
      <c r="J11" s="303"/>
    </row>
    <row r="12" spans="1:10" s="284" customFormat="1" ht="9.75">
      <c r="A12" s="645" t="s">
        <v>567</v>
      </c>
      <c r="B12" s="645"/>
      <c r="C12" s="645"/>
      <c r="D12" s="645"/>
      <c r="E12" s="645"/>
      <c r="F12" s="645"/>
      <c r="G12" s="645"/>
      <c r="H12" s="346"/>
      <c r="I12" s="346"/>
      <c r="J12" s="346"/>
    </row>
    <row r="13" spans="2:4" s="284" customFormat="1" ht="9.75">
      <c r="B13" s="634"/>
      <c r="C13" s="634"/>
      <c r="D13" s="634"/>
    </row>
    <row r="14" spans="1:4" s="2" customFormat="1" ht="21" customHeight="1">
      <c r="A14" s="147" t="s">
        <v>381</v>
      </c>
      <c r="B14" s="593" t="s">
        <v>821</v>
      </c>
      <c r="C14" s="593" t="s">
        <v>822</v>
      </c>
      <c r="D14" s="157"/>
    </row>
    <row r="15" spans="1:5" s="256" customFormat="1" ht="9.75">
      <c r="A15" s="646" t="s">
        <v>467</v>
      </c>
      <c r="B15" s="647"/>
      <c r="C15" s="648"/>
      <c r="D15" s="452"/>
      <c r="E15" s="62"/>
    </row>
    <row r="16" spans="1:5" s="256" customFormat="1" ht="20.25">
      <c r="A16" s="151" t="s">
        <v>45</v>
      </c>
      <c r="B16" s="158">
        <f>C29</f>
        <v>0</v>
      </c>
      <c r="C16" s="158">
        <v>0</v>
      </c>
      <c r="D16" s="452"/>
      <c r="E16" s="62"/>
    </row>
    <row r="17" spans="1:5" s="367" customFormat="1" ht="9.75">
      <c r="A17" s="453" t="s">
        <v>275</v>
      </c>
      <c r="B17" s="454">
        <f>SUM(B18:B22)</f>
        <v>0</v>
      </c>
      <c r="C17" s="454">
        <f>SUM(C18:C22)</f>
        <v>0</v>
      </c>
      <c r="D17" s="338"/>
      <c r="E17" s="119"/>
    </row>
    <row r="18" spans="1:5" s="256" customFormat="1" ht="9.75">
      <c r="A18" s="339" t="s">
        <v>124</v>
      </c>
      <c r="B18" s="448">
        <v>0</v>
      </c>
      <c r="C18" s="448">
        <v>0</v>
      </c>
      <c r="D18" s="452"/>
      <c r="E18" s="62"/>
    </row>
    <row r="19" spans="1:5" s="256" customFormat="1" ht="9.75">
      <c r="A19" s="339" t="s">
        <v>125</v>
      </c>
      <c r="B19" s="448">
        <v>0</v>
      </c>
      <c r="C19" s="448">
        <v>0</v>
      </c>
      <c r="D19" s="452"/>
      <c r="E19" s="62"/>
    </row>
    <row r="20" spans="1:5" s="256" customFormat="1" ht="9.75" hidden="1">
      <c r="A20" s="355" t="s">
        <v>151</v>
      </c>
      <c r="B20" s="448"/>
      <c r="C20" s="448"/>
      <c r="D20" s="452"/>
      <c r="E20" s="62"/>
    </row>
    <row r="21" spans="1:5" s="256" customFormat="1" ht="9.75" hidden="1">
      <c r="A21" s="355" t="s">
        <v>151</v>
      </c>
      <c r="B21" s="448"/>
      <c r="C21" s="448"/>
      <c r="D21" s="452"/>
      <c r="E21" s="62"/>
    </row>
    <row r="22" spans="1:5" s="256" customFormat="1" ht="9.75" hidden="1">
      <c r="A22" s="355" t="s">
        <v>151</v>
      </c>
      <c r="B22" s="448"/>
      <c r="C22" s="448"/>
      <c r="D22" s="452"/>
      <c r="E22" s="62"/>
    </row>
    <row r="23" spans="1:5" s="367" customFormat="1" ht="9.75">
      <c r="A23" s="453" t="s">
        <v>268</v>
      </c>
      <c r="B23" s="454">
        <f>SUM(B24:B28)</f>
        <v>0</v>
      </c>
      <c r="C23" s="454">
        <f>SUM(C24:C28)</f>
        <v>0</v>
      </c>
      <c r="D23" s="338"/>
      <c r="E23" s="119"/>
    </row>
    <row r="24" spans="1:5" s="256" customFormat="1" ht="9.75">
      <c r="A24" s="339" t="s">
        <v>126</v>
      </c>
      <c r="B24" s="448">
        <v>0</v>
      </c>
      <c r="C24" s="448">
        <v>0</v>
      </c>
      <c r="D24" s="452"/>
      <c r="E24" s="62"/>
    </row>
    <row r="25" spans="1:5" s="256" customFormat="1" ht="9.75">
      <c r="A25" s="339" t="s">
        <v>127</v>
      </c>
      <c r="B25" s="448">
        <v>0</v>
      </c>
      <c r="C25" s="448">
        <v>0</v>
      </c>
      <c r="D25" s="452"/>
      <c r="E25" s="62"/>
    </row>
    <row r="26" spans="1:5" s="256" customFormat="1" ht="9.75">
      <c r="A26" s="339" t="s">
        <v>128</v>
      </c>
      <c r="B26" s="448">
        <v>0</v>
      </c>
      <c r="C26" s="448">
        <v>0</v>
      </c>
      <c r="D26" s="452"/>
      <c r="E26" s="62"/>
    </row>
    <row r="27" spans="1:5" s="256" customFormat="1" ht="9.75" hidden="1">
      <c r="A27" s="355" t="s">
        <v>151</v>
      </c>
      <c r="B27" s="455"/>
      <c r="C27" s="455"/>
      <c r="D27" s="452"/>
      <c r="E27" s="62"/>
    </row>
    <row r="28" spans="1:5" s="256" customFormat="1" ht="9.75" hidden="1">
      <c r="A28" s="355" t="s">
        <v>151</v>
      </c>
      <c r="B28" s="455"/>
      <c r="C28" s="455"/>
      <c r="D28" s="452"/>
      <c r="E28" s="62"/>
    </row>
    <row r="29" spans="1:5" s="256" customFormat="1" ht="20.25">
      <c r="A29" s="151" t="s">
        <v>468</v>
      </c>
      <c r="B29" s="158">
        <f>B16+B17-B23</f>
        <v>0</v>
      </c>
      <c r="C29" s="158">
        <f>C16+C17-C23</f>
        <v>0</v>
      </c>
      <c r="D29" s="452"/>
      <c r="E29" s="62"/>
    </row>
    <row r="30" spans="1:5" s="256" customFormat="1" ht="9.75">
      <c r="A30" s="649" t="s">
        <v>469</v>
      </c>
      <c r="B30" s="650"/>
      <c r="C30" s="651"/>
      <c r="D30" s="452"/>
      <c r="E30" s="62"/>
    </row>
    <row r="31" spans="1:5" s="256" customFormat="1" ht="20.25">
      <c r="A31" s="131" t="s">
        <v>45</v>
      </c>
      <c r="B31" s="552">
        <f>C49</f>
        <v>358260</v>
      </c>
      <c r="C31" s="552">
        <v>276993</v>
      </c>
      <c r="D31" s="452"/>
      <c r="E31" s="62"/>
    </row>
    <row r="32" spans="1:5" s="256" customFormat="1" ht="9.75">
      <c r="A32" s="139" t="s">
        <v>823</v>
      </c>
      <c r="B32" s="554">
        <v>16290</v>
      </c>
      <c r="C32" s="554">
        <v>0</v>
      </c>
      <c r="D32" s="452"/>
      <c r="E32" s="62"/>
    </row>
    <row r="33" spans="1:5" s="256" customFormat="1" ht="20.25">
      <c r="A33" s="131" t="s">
        <v>824</v>
      </c>
      <c r="B33" s="552">
        <f>B31+B32</f>
        <v>374550</v>
      </c>
      <c r="C33" s="552">
        <f>C31+C32</f>
        <v>276993</v>
      </c>
      <c r="D33" s="452"/>
      <c r="E33" s="62"/>
    </row>
    <row r="34" spans="1:5" s="367" customFormat="1" ht="9.75">
      <c r="A34" s="482" t="s">
        <v>275</v>
      </c>
      <c r="B34" s="553">
        <f>SUM(B35:B40)</f>
        <v>127763</v>
      </c>
      <c r="C34" s="553">
        <f>SUM(C35:C40)</f>
        <v>142075</v>
      </c>
      <c r="D34" s="338"/>
      <c r="E34" s="119"/>
    </row>
    <row r="35" spans="1:5" s="367" customFormat="1" ht="9.75">
      <c r="A35" s="339" t="s">
        <v>825</v>
      </c>
      <c r="B35" s="448">
        <v>3273</v>
      </c>
      <c r="C35" s="448">
        <v>0</v>
      </c>
      <c r="D35" s="338"/>
      <c r="E35" s="119"/>
    </row>
    <row r="36" spans="1:5" s="256" customFormat="1" ht="9.75">
      <c r="A36" s="483" t="s">
        <v>124</v>
      </c>
      <c r="B36" s="554">
        <v>121275</v>
      </c>
      <c r="C36" s="554">
        <v>142075</v>
      </c>
      <c r="D36" s="452"/>
      <c r="E36" s="62"/>
    </row>
    <row r="37" spans="1:5" s="256" customFormat="1" ht="9.75">
      <c r="A37" s="483" t="s">
        <v>826</v>
      </c>
      <c r="B37" s="554">
        <v>3215</v>
      </c>
      <c r="C37" s="554">
        <v>0</v>
      </c>
      <c r="D37" s="452"/>
      <c r="E37" s="62"/>
    </row>
    <row r="38" spans="1:5" s="256" customFormat="1" ht="9.75" hidden="1">
      <c r="A38" s="483" t="s">
        <v>151</v>
      </c>
      <c r="B38" s="554"/>
      <c r="C38" s="554"/>
      <c r="D38" s="452"/>
      <c r="E38" s="62"/>
    </row>
    <row r="39" spans="1:5" s="256" customFormat="1" ht="9.75" hidden="1">
      <c r="A39" s="483" t="s">
        <v>151</v>
      </c>
      <c r="B39" s="554"/>
      <c r="C39" s="554"/>
      <c r="D39" s="452"/>
      <c r="E39" s="62"/>
    </row>
    <row r="40" spans="1:5" s="256" customFormat="1" ht="9.75" hidden="1">
      <c r="A40" s="483" t="s">
        <v>151</v>
      </c>
      <c r="B40" s="554"/>
      <c r="C40" s="554"/>
      <c r="D40" s="452"/>
      <c r="E40" s="62"/>
    </row>
    <row r="41" spans="1:5" s="367" customFormat="1" ht="9.75">
      <c r="A41" s="482" t="s">
        <v>268</v>
      </c>
      <c r="B41" s="553">
        <f>SUM(B42:B46)</f>
        <v>86442</v>
      </c>
      <c r="C41" s="553">
        <f>SUM(C42:C46)</f>
        <v>60808</v>
      </c>
      <c r="D41" s="338"/>
      <c r="E41" s="119"/>
    </row>
    <row r="42" spans="1:5" s="256" customFormat="1" ht="9.75">
      <c r="A42" s="483" t="s">
        <v>126</v>
      </c>
      <c r="B42" s="554">
        <v>28763</v>
      </c>
      <c r="C42" s="554">
        <v>43630</v>
      </c>
      <c r="D42" s="452"/>
      <c r="E42" s="62"/>
    </row>
    <row r="43" spans="1:5" s="256" customFormat="1" ht="9.75">
      <c r="A43" s="483" t="s">
        <v>127</v>
      </c>
      <c r="B43" s="554">
        <v>21273</v>
      </c>
      <c r="C43" s="554">
        <v>9025</v>
      </c>
      <c r="D43" s="452"/>
      <c r="E43" s="62"/>
    </row>
    <row r="44" spans="1:5" s="256" customFormat="1" ht="9.75">
      <c r="A44" s="483" t="s">
        <v>827</v>
      </c>
      <c r="B44" s="448">
        <v>36406</v>
      </c>
      <c r="C44" s="448">
        <v>8153</v>
      </c>
      <c r="D44" s="452"/>
      <c r="E44" s="62"/>
    </row>
    <row r="45" spans="1:5" s="256" customFormat="1" ht="9.75" hidden="1">
      <c r="A45" s="483" t="s">
        <v>151</v>
      </c>
      <c r="B45" s="455"/>
      <c r="C45" s="455"/>
      <c r="D45" s="452"/>
      <c r="E45" s="62"/>
    </row>
    <row r="46" spans="1:5" s="256" customFormat="1" ht="9.75" hidden="1">
      <c r="A46" s="483" t="s">
        <v>151</v>
      </c>
      <c r="B46" s="455"/>
      <c r="C46" s="455"/>
      <c r="D46" s="452"/>
      <c r="E46" s="62"/>
    </row>
    <row r="47" spans="1:5" s="256" customFormat="1" ht="20.25">
      <c r="A47" s="484" t="s">
        <v>470</v>
      </c>
      <c r="B47" s="456">
        <f>B33+B34-B41</f>
        <v>415871</v>
      </c>
      <c r="C47" s="456">
        <f>C31+C34-C41</f>
        <v>358260</v>
      </c>
      <c r="D47" s="452"/>
      <c r="E47" s="62"/>
    </row>
    <row r="48" spans="1:5" s="256" customFormat="1" ht="9.75">
      <c r="A48" s="642"/>
      <c r="B48" s="643"/>
      <c r="C48" s="644"/>
      <c r="D48" s="452"/>
      <c r="E48" s="62"/>
    </row>
    <row r="49" spans="1:5" s="256" customFormat="1" ht="20.25">
      <c r="A49" s="457" t="s">
        <v>471</v>
      </c>
      <c r="B49" s="458">
        <f>B47+B29</f>
        <v>415871</v>
      </c>
      <c r="C49" s="458">
        <f>C47+C29</f>
        <v>358260</v>
      </c>
      <c r="D49" s="452"/>
      <c r="E49" s="62"/>
    </row>
    <row r="50" spans="1:4" s="62" customFormat="1" ht="9.75">
      <c r="A50" s="156"/>
      <c r="B50" s="381">
        <f>B8-B49</f>
        <v>0</v>
      </c>
      <c r="C50" s="381">
        <f>C8-C49</f>
        <v>0</v>
      </c>
      <c r="D50" s="452"/>
    </row>
    <row r="51" spans="1:4" s="62" customFormat="1" ht="9.75">
      <c r="A51" s="156"/>
      <c r="B51" s="452"/>
      <c r="C51" s="452"/>
      <c r="D51" s="452"/>
    </row>
    <row r="52" spans="1:4" s="62" customFormat="1" ht="9.75">
      <c r="A52" s="156"/>
      <c r="B52" s="452"/>
      <c r="C52" s="452"/>
      <c r="D52" s="452"/>
    </row>
    <row r="53" spans="1:5" s="62" customFormat="1" ht="9.75">
      <c r="A53" s="582" t="s">
        <v>817</v>
      </c>
      <c r="B53" s="542"/>
      <c r="C53" s="542"/>
      <c r="D53" s="542"/>
      <c r="E53" s="542"/>
    </row>
    <row r="54" spans="1:9" s="62" customFormat="1" ht="9.75">
      <c r="A54" s="639" t="s">
        <v>381</v>
      </c>
      <c r="B54" s="640" t="s">
        <v>389</v>
      </c>
      <c r="C54" s="635" t="s">
        <v>68</v>
      </c>
      <c r="D54" s="641" t="s">
        <v>714</v>
      </c>
      <c r="E54" s="635" t="s">
        <v>715</v>
      </c>
      <c r="F54" s="635" t="s">
        <v>716</v>
      </c>
      <c r="G54" s="635" t="s">
        <v>466</v>
      </c>
      <c r="H54" s="635" t="s">
        <v>717</v>
      </c>
      <c r="I54" s="635" t="s">
        <v>718</v>
      </c>
    </row>
    <row r="55" spans="1:9" s="62" customFormat="1" ht="9.75">
      <c r="A55" s="639"/>
      <c r="B55" s="640"/>
      <c r="C55" s="636"/>
      <c r="D55" s="641"/>
      <c r="E55" s="636"/>
      <c r="F55" s="636"/>
      <c r="G55" s="636"/>
      <c r="H55" s="636"/>
      <c r="I55" s="636"/>
    </row>
    <row r="56" spans="1:9" s="62" customFormat="1" ht="9.75">
      <c r="A56" s="637" t="s">
        <v>732</v>
      </c>
      <c r="B56" s="638"/>
      <c r="C56" s="638"/>
      <c r="D56" s="638"/>
      <c r="E56" s="583"/>
      <c r="F56" s="583"/>
      <c r="G56" s="583"/>
      <c r="H56" s="583"/>
      <c r="I56" s="583"/>
    </row>
    <row r="57" spans="1:9" s="62" customFormat="1" ht="9.75">
      <c r="A57" s="584" t="s">
        <v>719</v>
      </c>
      <c r="B57" s="585">
        <f>SUM(C57:D57)</f>
        <v>530487</v>
      </c>
      <c r="C57" s="585">
        <v>214397</v>
      </c>
      <c r="D57" s="585">
        <f>SUM(E57:I57)</f>
        <v>316090</v>
      </c>
      <c r="E57" s="585">
        <v>160979</v>
      </c>
      <c r="F57" s="585">
        <v>147111</v>
      </c>
      <c r="G57" s="585">
        <v>8000</v>
      </c>
      <c r="H57" s="585">
        <v>0</v>
      </c>
      <c r="I57" s="585">
        <v>0</v>
      </c>
    </row>
    <row r="58" spans="1:9" s="62" customFormat="1" ht="9.75">
      <c r="A58" s="584" t="s">
        <v>720</v>
      </c>
      <c r="B58" s="585">
        <v>0</v>
      </c>
      <c r="C58" s="585">
        <v>0</v>
      </c>
      <c r="D58" s="585">
        <v>0</v>
      </c>
      <c r="E58" s="585">
        <v>0</v>
      </c>
      <c r="F58" s="585">
        <v>0</v>
      </c>
      <c r="G58" s="585">
        <v>0</v>
      </c>
      <c r="H58" s="585">
        <v>0</v>
      </c>
      <c r="I58" s="585">
        <v>0</v>
      </c>
    </row>
    <row r="59" spans="1:9" s="62" customFormat="1" ht="9.75">
      <c r="A59" s="586" t="s">
        <v>721</v>
      </c>
      <c r="B59" s="585">
        <f>B57-B58</f>
        <v>530487</v>
      </c>
      <c r="C59" s="585">
        <f aca="true" t="shared" si="0" ref="C59:I59">C57-C58</f>
        <v>214397</v>
      </c>
      <c r="D59" s="585">
        <f t="shared" si="0"/>
        <v>316090</v>
      </c>
      <c r="E59" s="585">
        <f t="shared" si="0"/>
        <v>160979</v>
      </c>
      <c r="F59" s="585">
        <f t="shared" si="0"/>
        <v>147111</v>
      </c>
      <c r="G59" s="585">
        <f t="shared" si="0"/>
        <v>8000</v>
      </c>
      <c r="H59" s="585">
        <f t="shared" si="0"/>
        <v>0</v>
      </c>
      <c r="I59" s="585">
        <f t="shared" si="0"/>
        <v>0</v>
      </c>
    </row>
    <row r="60" spans="1:9" s="62" customFormat="1" ht="9.75">
      <c r="A60" s="587" t="s">
        <v>469</v>
      </c>
      <c r="B60" s="588"/>
      <c r="C60" s="588"/>
      <c r="D60" s="588"/>
      <c r="E60" s="583"/>
      <c r="F60" s="583"/>
      <c r="G60" s="583"/>
      <c r="H60" s="583"/>
      <c r="I60" s="583"/>
    </row>
    <row r="61" spans="1:9" s="62" customFormat="1" ht="9.75">
      <c r="A61" s="584" t="s">
        <v>719</v>
      </c>
      <c r="B61" s="585">
        <f>C61+D61</f>
        <v>1750332</v>
      </c>
      <c r="C61" s="585">
        <v>798673</v>
      </c>
      <c r="D61" s="585">
        <f>SUM(E61:I61)</f>
        <v>951659</v>
      </c>
      <c r="E61" s="585">
        <v>263110</v>
      </c>
      <c r="F61" s="585">
        <v>119188</v>
      </c>
      <c r="G61" s="585">
        <v>108321</v>
      </c>
      <c r="H61" s="585">
        <v>81237</v>
      </c>
      <c r="I61" s="585">
        <v>379803</v>
      </c>
    </row>
    <row r="62" spans="1:9" s="62" customFormat="1" ht="9.75">
      <c r="A62" s="584" t="s">
        <v>720</v>
      </c>
      <c r="B62" s="585">
        <f>C62+D62</f>
        <v>415871</v>
      </c>
      <c r="C62" s="585">
        <v>19564</v>
      </c>
      <c r="D62" s="585">
        <f>SUM(E62:I62)</f>
        <v>396307</v>
      </c>
      <c r="E62" s="585">
        <v>0</v>
      </c>
      <c r="F62" s="585">
        <v>0</v>
      </c>
      <c r="G62" s="585">
        <v>0</v>
      </c>
      <c r="H62" s="585">
        <v>16504</v>
      </c>
      <c r="I62" s="585">
        <v>379803</v>
      </c>
    </row>
    <row r="63" spans="1:9" s="62" customFormat="1" ht="9.75">
      <c r="A63" s="586" t="s">
        <v>721</v>
      </c>
      <c r="B63" s="585">
        <f>B61-B62</f>
        <v>1334461</v>
      </c>
      <c r="C63" s="585">
        <f aca="true" t="shared" si="1" ref="C63:I63">C61-C62</f>
        <v>779109</v>
      </c>
      <c r="D63" s="585">
        <f t="shared" si="1"/>
        <v>555352</v>
      </c>
      <c r="E63" s="585">
        <f t="shared" si="1"/>
        <v>263110</v>
      </c>
      <c r="F63" s="585">
        <f t="shared" si="1"/>
        <v>119188</v>
      </c>
      <c r="G63" s="585">
        <f t="shared" si="1"/>
        <v>108321</v>
      </c>
      <c r="H63" s="585">
        <f t="shared" si="1"/>
        <v>64733</v>
      </c>
      <c r="I63" s="585">
        <f t="shared" si="1"/>
        <v>0</v>
      </c>
    </row>
    <row r="64" spans="1:9" s="62" customFormat="1" ht="9.75">
      <c r="A64" s="587" t="s">
        <v>431</v>
      </c>
      <c r="B64" s="588"/>
      <c r="C64" s="588"/>
      <c r="D64" s="588"/>
      <c r="E64" s="583"/>
      <c r="F64" s="583"/>
      <c r="G64" s="583"/>
      <c r="H64" s="583"/>
      <c r="I64" s="583"/>
    </row>
    <row r="65" spans="1:9" s="62" customFormat="1" ht="9.75">
      <c r="A65" s="584" t="s">
        <v>719</v>
      </c>
      <c r="B65" s="585">
        <f>B57+B61</f>
        <v>2280819</v>
      </c>
      <c r="C65" s="585">
        <f aca="true" t="shared" si="2" ref="C65:I65">C57+C61</f>
        <v>1013070</v>
      </c>
      <c r="D65" s="585">
        <f t="shared" si="2"/>
        <v>1267749</v>
      </c>
      <c r="E65" s="585">
        <f t="shared" si="2"/>
        <v>424089</v>
      </c>
      <c r="F65" s="585">
        <f t="shared" si="2"/>
        <v>266299</v>
      </c>
      <c r="G65" s="585">
        <f t="shared" si="2"/>
        <v>116321</v>
      </c>
      <c r="H65" s="585">
        <f t="shared" si="2"/>
        <v>81237</v>
      </c>
      <c r="I65" s="585">
        <f t="shared" si="2"/>
        <v>379803</v>
      </c>
    </row>
    <row r="66" spans="1:9" s="62" customFormat="1" ht="9.75">
      <c r="A66" s="584" t="s">
        <v>720</v>
      </c>
      <c r="B66" s="585">
        <f aca="true" t="shared" si="3" ref="B66:I67">B58+B62</f>
        <v>415871</v>
      </c>
      <c r="C66" s="585">
        <f t="shared" si="3"/>
        <v>19564</v>
      </c>
      <c r="D66" s="585">
        <f t="shared" si="3"/>
        <v>396307</v>
      </c>
      <c r="E66" s="585">
        <f t="shared" si="3"/>
        <v>0</v>
      </c>
      <c r="F66" s="585">
        <f t="shared" si="3"/>
        <v>0</v>
      </c>
      <c r="G66" s="585">
        <f t="shared" si="3"/>
        <v>0</v>
      </c>
      <c r="H66" s="585">
        <f t="shared" si="3"/>
        <v>16504</v>
      </c>
      <c r="I66" s="585">
        <f t="shared" si="3"/>
        <v>379803</v>
      </c>
    </row>
    <row r="67" spans="1:9" s="62" customFormat="1" ht="9.75">
      <c r="A67" s="586" t="s">
        <v>721</v>
      </c>
      <c r="B67" s="585">
        <f t="shared" si="3"/>
        <v>1864948</v>
      </c>
      <c r="C67" s="585">
        <f t="shared" si="3"/>
        <v>993506</v>
      </c>
      <c r="D67" s="585">
        <f t="shared" si="3"/>
        <v>871442</v>
      </c>
      <c r="E67" s="585">
        <f t="shared" si="3"/>
        <v>424089</v>
      </c>
      <c r="F67" s="585">
        <f t="shared" si="3"/>
        <v>266299</v>
      </c>
      <c r="G67" s="585">
        <f t="shared" si="3"/>
        <v>116321</v>
      </c>
      <c r="H67" s="585">
        <f t="shared" si="3"/>
        <v>64733</v>
      </c>
      <c r="I67" s="585">
        <f t="shared" si="3"/>
        <v>0</v>
      </c>
    </row>
    <row r="68" spans="1:4" s="62" customFormat="1" ht="9.75">
      <c r="A68" s="156"/>
      <c r="B68" s="452"/>
      <c r="C68" s="452"/>
      <c r="D68" s="452"/>
    </row>
    <row r="69" s="284" customFormat="1" ht="9.75">
      <c r="A69" s="285" t="s">
        <v>46</v>
      </c>
    </row>
    <row r="70" s="284" customFormat="1" ht="9.75"/>
    <row r="71" spans="1:3" s="284" customFormat="1" ht="9.75">
      <c r="A71" s="301" t="s">
        <v>381</v>
      </c>
      <c r="B71" s="593">
        <f>'Dane podstawowe'!$B$9</f>
        <v>43465</v>
      </c>
      <c r="C71" s="593">
        <f>'Dane podstawowe'!$B$14</f>
        <v>43100</v>
      </c>
    </row>
    <row r="72" spans="1:5" s="347" customFormat="1" ht="9.75">
      <c r="A72" s="348" t="s">
        <v>47</v>
      </c>
      <c r="B72" s="352">
        <v>218739</v>
      </c>
      <c r="C72" s="163">
        <v>120219</v>
      </c>
      <c r="D72" s="284"/>
      <c r="E72" s="284"/>
    </row>
    <row r="73" spans="1:5" s="347" customFormat="1" ht="9.75">
      <c r="A73" s="348" t="s">
        <v>129</v>
      </c>
      <c r="B73" s="350">
        <v>218739</v>
      </c>
      <c r="C73" s="352">
        <v>99994</v>
      </c>
      <c r="D73" s="284"/>
      <c r="E73" s="284"/>
    </row>
    <row r="74" spans="1:5" s="347" customFormat="1" ht="9.75">
      <c r="A74" s="351" t="s">
        <v>48</v>
      </c>
      <c r="B74" s="349">
        <f>B72-B73</f>
        <v>0</v>
      </c>
      <c r="C74" s="349">
        <f>C72-C73</f>
        <v>20225</v>
      </c>
      <c r="D74" s="284"/>
      <c r="E74" s="284"/>
    </row>
    <row r="75" spans="4:5" ht="9.75">
      <c r="D75" s="284"/>
      <c r="E75" s="284"/>
    </row>
    <row r="76" s="477" customFormat="1" ht="12.75">
      <c r="A76" s="507" t="s">
        <v>853</v>
      </c>
    </row>
    <row r="77" spans="1:5" ht="9.75">
      <c r="A77" s="147" t="s">
        <v>381</v>
      </c>
      <c r="B77" s="593">
        <f>'Dane podstawowe'!$B$9</f>
        <v>43465</v>
      </c>
      <c r="C77" s="593">
        <f>'Dane podstawowe'!$B$14</f>
        <v>43100</v>
      </c>
      <c r="D77" s="284"/>
      <c r="E77" s="284"/>
    </row>
    <row r="78" spans="1:5" ht="9.75">
      <c r="A78" s="76" t="s">
        <v>130</v>
      </c>
      <c r="B78" s="123">
        <f>SUM(B79:B87)</f>
        <v>9906</v>
      </c>
      <c r="C78" s="123">
        <f>SUM(C79:C87)</f>
        <v>58191</v>
      </c>
      <c r="D78" s="284"/>
      <c r="E78" s="284"/>
    </row>
    <row r="79" spans="1:5" ht="9.75">
      <c r="A79" s="485" t="s">
        <v>377</v>
      </c>
      <c r="B79" s="199">
        <v>0</v>
      </c>
      <c r="C79" s="199">
        <v>50538</v>
      </c>
      <c r="D79" s="284"/>
      <c r="E79" s="284"/>
    </row>
    <row r="80" spans="1:5" ht="9.75">
      <c r="A80" s="485" t="s">
        <v>131</v>
      </c>
      <c r="B80" s="199">
        <v>0</v>
      </c>
      <c r="C80" s="199">
        <v>0</v>
      </c>
      <c r="D80" s="284"/>
      <c r="E80" s="284"/>
    </row>
    <row r="81" spans="1:5" ht="9.75">
      <c r="A81" s="485" t="s">
        <v>132</v>
      </c>
      <c r="B81" s="199">
        <v>3880</v>
      </c>
      <c r="C81" s="199">
        <v>0</v>
      </c>
      <c r="D81" s="284"/>
      <c r="E81" s="284"/>
    </row>
    <row r="82" spans="1:5" ht="9.75">
      <c r="A82" s="485" t="s">
        <v>133</v>
      </c>
      <c r="B82" s="199">
        <v>0</v>
      </c>
      <c r="C82" s="199">
        <v>0</v>
      </c>
      <c r="D82" s="284"/>
      <c r="E82" s="284"/>
    </row>
    <row r="83" spans="1:5" ht="9.75">
      <c r="A83" s="555" t="s">
        <v>272</v>
      </c>
      <c r="B83" s="199">
        <v>0</v>
      </c>
      <c r="C83" s="199">
        <v>0</v>
      </c>
      <c r="D83" s="284"/>
      <c r="E83" s="284"/>
    </row>
    <row r="84" spans="1:5" s="52" customFormat="1" ht="12.75" hidden="1">
      <c r="A84" s="460"/>
      <c r="B84" s="199"/>
      <c r="C84" s="199"/>
      <c r="D84" s="62"/>
      <c r="E84" s="62"/>
    </row>
    <row r="85" spans="1:5" s="52" customFormat="1" ht="12.75" hidden="1">
      <c r="A85" s="460" t="s">
        <v>151</v>
      </c>
      <c r="B85" s="199"/>
      <c r="C85" s="199"/>
      <c r="D85" s="62"/>
      <c r="E85" s="62"/>
    </row>
    <row r="86" spans="1:5" s="52" customFormat="1" ht="12.75" hidden="1">
      <c r="A86" s="460" t="s">
        <v>151</v>
      </c>
      <c r="B86" s="199"/>
      <c r="C86" s="199"/>
      <c r="D86" s="62"/>
      <c r="E86" s="62"/>
    </row>
    <row r="87" spans="1:5" s="52" customFormat="1" ht="12.75">
      <c r="A87" s="485" t="s">
        <v>43</v>
      </c>
      <c r="B87" s="199">
        <v>6026</v>
      </c>
      <c r="C87" s="199">
        <v>7653</v>
      </c>
      <c r="D87" s="62"/>
      <c r="E87" s="62"/>
    </row>
    <row r="88" spans="1:5" ht="9.75" hidden="1">
      <c r="A88" s="75" t="s">
        <v>123</v>
      </c>
      <c r="B88" s="199"/>
      <c r="C88" s="199"/>
      <c r="D88" s="284"/>
      <c r="E88" s="284"/>
    </row>
    <row r="89" spans="1:5" ht="9.75">
      <c r="A89" s="353" t="s">
        <v>123</v>
      </c>
      <c r="B89" s="199">
        <v>0</v>
      </c>
      <c r="C89" s="199">
        <v>0</v>
      </c>
      <c r="D89" s="284"/>
      <c r="E89" s="284"/>
    </row>
    <row r="90" spans="1:5" ht="9.75">
      <c r="A90" s="354" t="s">
        <v>267</v>
      </c>
      <c r="B90" s="288">
        <f>B78-B89</f>
        <v>9906</v>
      </c>
      <c r="C90" s="288">
        <f>C78-C89</f>
        <v>58191</v>
      </c>
      <c r="D90" s="284"/>
      <c r="E90" s="284"/>
    </row>
    <row r="91" spans="2:5" ht="9.75">
      <c r="B91" s="332">
        <f>Aktywa!D17-'NOTA 13,14- Należności'!B78</f>
        <v>0</v>
      </c>
      <c r="C91" s="332">
        <f>Aktywa!E17-'NOTA 13,14- Należności'!C78</f>
        <v>0</v>
      </c>
      <c r="D91" s="284"/>
      <c r="E91" s="284"/>
    </row>
    <row r="92" spans="2:5" ht="9.75">
      <c r="B92" s="374"/>
      <c r="C92" s="374"/>
      <c r="D92" s="284"/>
      <c r="E92" s="284"/>
    </row>
    <row r="93" spans="1:5" s="52" customFormat="1" ht="12.75">
      <c r="A93" s="147" t="s">
        <v>381</v>
      </c>
      <c r="B93" s="593">
        <f>'Dane podstawowe'!$B$9</f>
        <v>43465</v>
      </c>
      <c r="C93" s="593">
        <f>'Dane podstawowe'!$B$14</f>
        <v>43100</v>
      </c>
      <c r="D93" s="62"/>
      <c r="E93" s="62"/>
    </row>
    <row r="94" spans="1:5" s="52" customFormat="1" ht="12.75">
      <c r="A94" s="76" t="s">
        <v>130</v>
      </c>
      <c r="B94" s="123">
        <f>B90</f>
        <v>9906</v>
      </c>
      <c r="C94" s="123">
        <f>C90</f>
        <v>58191</v>
      </c>
      <c r="D94" s="62"/>
      <c r="E94" s="62"/>
    </row>
    <row r="95" spans="1:5" s="52" customFormat="1" ht="12.75">
      <c r="A95" s="485" t="s">
        <v>273</v>
      </c>
      <c r="B95" s="199">
        <v>5000</v>
      </c>
      <c r="C95" s="199">
        <v>5000</v>
      </c>
      <c r="D95" s="62"/>
      <c r="E95" s="62"/>
    </row>
    <row r="96" spans="1:5" s="52" customFormat="1" ht="12.75">
      <c r="A96" s="485" t="s">
        <v>274</v>
      </c>
      <c r="B96" s="199">
        <v>4906</v>
      </c>
      <c r="C96" s="199">
        <v>53191</v>
      </c>
      <c r="D96" s="62"/>
      <c r="E96" s="62"/>
    </row>
    <row r="97" spans="1:5" s="52" customFormat="1" ht="12.75">
      <c r="A97" s="75" t="s">
        <v>123</v>
      </c>
      <c r="B97" s="199">
        <v>0</v>
      </c>
      <c r="C97" s="199">
        <v>0</v>
      </c>
      <c r="D97" s="62"/>
      <c r="E97" s="62"/>
    </row>
    <row r="98" spans="1:5" s="52" customFormat="1" ht="12.75">
      <c r="A98" s="76" t="s">
        <v>267</v>
      </c>
      <c r="B98" s="123">
        <f>B97+B94</f>
        <v>9906</v>
      </c>
      <c r="C98" s="123">
        <f>C97+C94</f>
        <v>58191</v>
      </c>
      <c r="D98" s="62"/>
      <c r="E98" s="62"/>
    </row>
    <row r="99" s="52" customFormat="1" ht="12.75"/>
  </sheetData>
  <sheetProtection/>
  <mergeCells count="16">
    <mergeCell ref="A48:C48"/>
    <mergeCell ref="B3:D3"/>
    <mergeCell ref="A12:G12"/>
    <mergeCell ref="B13:D13"/>
    <mergeCell ref="A15:C15"/>
    <mergeCell ref="A30:C30"/>
    <mergeCell ref="G54:G55"/>
    <mergeCell ref="H54:H55"/>
    <mergeCell ref="I54:I55"/>
    <mergeCell ref="A56:D56"/>
    <mergeCell ref="A54:A55"/>
    <mergeCell ref="B54:B55"/>
    <mergeCell ref="C54:C55"/>
    <mergeCell ref="D54:D55"/>
    <mergeCell ref="E54:E55"/>
    <mergeCell ref="F54:F55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SheetLayoutView="90" zoomScalePageLayoutView="0" workbookViewId="0" topLeftCell="A1">
      <selection activeCell="B24" sqref="B24:B26"/>
    </sheetView>
  </sheetViews>
  <sheetFormatPr defaultColWidth="9.28125" defaultRowHeight="12.75"/>
  <cols>
    <col min="1" max="1" width="27.00390625" style="255" customWidth="1"/>
    <col min="2" max="5" width="15.7109375" style="255" customWidth="1"/>
    <col min="6" max="16384" width="9.28125" style="255" customWidth="1"/>
  </cols>
  <sheetData>
    <row r="1" spans="1:3" s="404" customFormat="1" ht="19.5" customHeight="1">
      <c r="A1" s="618"/>
      <c r="B1" s="619"/>
      <c r="C1" s="619"/>
    </row>
    <row r="2" spans="1:3" s="404" customFormat="1" ht="9.75">
      <c r="A2" s="537" t="s">
        <v>833</v>
      </c>
      <c r="B2" s="509"/>
      <c r="C2" s="509"/>
    </row>
    <row r="3" spans="1:3" s="404" customFormat="1" ht="9.75">
      <c r="A3" s="508"/>
      <c r="B3" s="509"/>
      <c r="C3" s="509"/>
    </row>
    <row r="4" spans="1:5" ht="10.5" thickBot="1">
      <c r="A4" s="521" t="s">
        <v>381</v>
      </c>
      <c r="B4" s="620" t="str">
        <f>'Dane podstawowe'!B7</f>
        <v>01.01.2018 - 31.12.2018</v>
      </c>
      <c r="C4" s="620"/>
      <c r="D4" s="620" t="str">
        <f>'Dane podstawowe'!B12</f>
        <v>01.01.2017 - 31.12.2017</v>
      </c>
      <c r="E4" s="620"/>
    </row>
    <row r="5" spans="1:5" ht="10.5" thickBot="1">
      <c r="A5" s="522"/>
      <c r="B5" s="523" t="s">
        <v>426</v>
      </c>
      <c r="C5" s="523" t="s">
        <v>427</v>
      </c>
      <c r="D5" s="523" t="s">
        <v>426</v>
      </c>
      <c r="E5" s="524" t="s">
        <v>427</v>
      </c>
    </row>
    <row r="6" spans="1:5" ht="10.5" thickBot="1">
      <c r="A6" s="513" t="s">
        <v>583</v>
      </c>
      <c r="B6" s="523"/>
      <c r="C6" s="523"/>
      <c r="D6" s="523"/>
      <c r="E6" s="524"/>
    </row>
    <row r="7" spans="1:5" ht="20.25">
      <c r="A7" s="573" t="s">
        <v>692</v>
      </c>
      <c r="B7" s="538">
        <f>RZiS!E3</f>
        <v>10400700</v>
      </c>
      <c r="C7" s="538">
        <f>B7/$C$31</f>
        <v>2437530.7600365607</v>
      </c>
      <c r="D7" s="538">
        <f>RZiS!F3</f>
        <v>10535809</v>
      </c>
      <c r="E7" s="539">
        <f>D7/$E$31</f>
        <v>2482109.2185549038</v>
      </c>
    </row>
    <row r="8" spans="1:5" ht="9.75">
      <c r="A8" s="511" t="s">
        <v>278</v>
      </c>
      <c r="B8" s="526">
        <f>RZiS!E7</f>
        <v>11779893</v>
      </c>
      <c r="C8" s="526">
        <f>B8/$C$31</f>
        <v>2760761.4427336007</v>
      </c>
      <c r="D8" s="526">
        <f>RZiS!F7</f>
        <v>11419409</v>
      </c>
      <c r="E8" s="527">
        <f>D8/$E$31</f>
        <v>2690274.6955026267</v>
      </c>
    </row>
    <row r="9" spans="1:5" ht="20.25">
      <c r="A9" s="511" t="s">
        <v>236</v>
      </c>
      <c r="B9" s="526">
        <f>RZiS!E21</f>
        <v>-1660456</v>
      </c>
      <c r="C9" s="526">
        <f>B9/$C$31</f>
        <v>-389148.09346363874</v>
      </c>
      <c r="D9" s="526">
        <f>RZiS!F21</f>
        <v>-1019748</v>
      </c>
      <c r="E9" s="527">
        <f>D9/$E$31</f>
        <v>-240240.29966782106</v>
      </c>
    </row>
    <row r="10" spans="1:5" ht="9.75">
      <c r="A10" s="512" t="s">
        <v>279</v>
      </c>
      <c r="B10" s="526">
        <f>RZiS!E25</f>
        <v>1171391</v>
      </c>
      <c r="C10" s="526">
        <f>B10/$C$31</f>
        <v>274529.75227917224</v>
      </c>
      <c r="D10" s="526">
        <f>RZiS!F25</f>
        <v>288589</v>
      </c>
      <c r="E10" s="527">
        <f>D10/$E$31</f>
        <v>67988.0792517728</v>
      </c>
    </row>
    <row r="11" spans="1:5" ht="9.75">
      <c r="A11" s="514" t="s">
        <v>280</v>
      </c>
      <c r="B11" s="526">
        <f>RZiS!E29</f>
        <v>1067371</v>
      </c>
      <c r="C11" s="526">
        <f>B11/$C$31</f>
        <v>250151.3979704235</v>
      </c>
      <c r="D11" s="526">
        <f>RZiS!F29</f>
        <v>173059</v>
      </c>
      <c r="E11" s="527">
        <f>D11/$E$31</f>
        <v>40770.60805239475</v>
      </c>
    </row>
    <row r="12" spans="1:5" ht="9.75">
      <c r="A12" s="511" t="s">
        <v>281</v>
      </c>
      <c r="B12" s="526">
        <f>'NOTA 7 - Zysk na 1 akcję'!B21</f>
        <v>2291551</v>
      </c>
      <c r="C12" s="526">
        <f>B12</f>
        <v>2291551</v>
      </c>
      <c r="D12" s="526">
        <f>'NOTA 7 - Zysk na 1 akcję'!C21</f>
        <v>2291551</v>
      </c>
      <c r="E12" s="527">
        <f>D12</f>
        <v>2291551</v>
      </c>
    </row>
    <row r="13" spans="1:5" ht="21" thickBot="1">
      <c r="A13" s="515" t="s">
        <v>283</v>
      </c>
      <c r="B13" s="589">
        <f>B11/B12</f>
        <v>0.46578540036857136</v>
      </c>
      <c r="C13" s="589">
        <f>B13/$C$31</f>
        <v>0.10916248338807363</v>
      </c>
      <c r="D13" s="589">
        <f>D11/D12</f>
        <v>0.07552046626935206</v>
      </c>
      <c r="E13" s="590">
        <f>D13/$E$31</f>
        <v>0.017791708782564624</v>
      </c>
    </row>
    <row r="14" spans="1:5" s="254" customFormat="1" ht="10.5" thickBot="1">
      <c r="A14" s="510"/>
      <c r="B14" s="518"/>
      <c r="C14" s="518"/>
      <c r="D14" s="518"/>
      <c r="E14" s="518"/>
    </row>
    <row r="15" spans="1:5" ht="10.5" thickBot="1">
      <c r="A15" s="516" t="s">
        <v>584</v>
      </c>
      <c r="B15" s="530"/>
      <c r="C15" s="530"/>
      <c r="D15" s="530"/>
      <c r="E15" s="525"/>
    </row>
    <row r="16" spans="1:5" ht="9.75">
      <c r="A16" s="519" t="s">
        <v>32</v>
      </c>
      <c r="B16" s="531">
        <f>Aktywa!D3</f>
        <v>18103858</v>
      </c>
      <c r="C16" s="531">
        <f aca="true" t="shared" si="0" ref="C16:C21">B16/$C$30</f>
        <v>4210199.534883721</v>
      </c>
      <c r="D16" s="531">
        <f>Aktywa!E3</f>
        <v>11230189</v>
      </c>
      <c r="E16" s="532">
        <f aca="true" t="shared" si="1" ref="E16:E21">D16/$E$30</f>
        <v>2692509.7700736057</v>
      </c>
    </row>
    <row r="17" spans="1:5" ht="9.75">
      <c r="A17" s="520" t="s">
        <v>33</v>
      </c>
      <c r="B17" s="526">
        <f>Aktywa!D13</f>
        <v>2735575</v>
      </c>
      <c r="C17" s="526">
        <f t="shared" si="0"/>
        <v>636180.2325581396</v>
      </c>
      <c r="D17" s="526">
        <f>Aktywa!E13</f>
        <v>2753211</v>
      </c>
      <c r="E17" s="527">
        <f t="shared" si="1"/>
        <v>660099.9784219234</v>
      </c>
    </row>
    <row r="18" spans="1:5" ht="9.75">
      <c r="A18" s="520" t="s">
        <v>204</v>
      </c>
      <c r="B18" s="526">
        <f>Pasywa!D3</f>
        <v>12167390</v>
      </c>
      <c r="C18" s="526">
        <f t="shared" si="0"/>
        <v>2829625.581395349</v>
      </c>
      <c r="D18" s="526">
        <f>Pasywa!E3</f>
        <v>11113793</v>
      </c>
      <c r="E18" s="527">
        <f t="shared" si="1"/>
        <v>2664603.0832674005</v>
      </c>
    </row>
    <row r="19" spans="1:5" ht="9.75">
      <c r="A19" s="520" t="s">
        <v>379</v>
      </c>
      <c r="B19" s="526">
        <f>Pasywa!D10</f>
        <v>682588</v>
      </c>
      <c r="C19" s="526">
        <f t="shared" si="0"/>
        <v>158741.39534883722</v>
      </c>
      <c r="D19" s="526">
        <f>Pasywa!E10</f>
        <v>432355</v>
      </c>
      <c r="E19" s="527">
        <f t="shared" si="1"/>
        <v>103659.8815603347</v>
      </c>
    </row>
    <row r="20" spans="1:5" ht="9.75">
      <c r="A20" s="520" t="s">
        <v>378</v>
      </c>
      <c r="B20" s="526">
        <f>Pasywa!D18</f>
        <v>7989455</v>
      </c>
      <c r="C20" s="526">
        <f t="shared" si="0"/>
        <v>1858012.7906976745</v>
      </c>
      <c r="D20" s="526">
        <f>Pasywa!E18</f>
        <v>2437252</v>
      </c>
      <c r="E20" s="527">
        <f t="shared" si="1"/>
        <v>584346.7836677936</v>
      </c>
    </row>
    <row r="21" spans="1:5" ht="10.5" thickBot="1">
      <c r="A21" s="515" t="s">
        <v>282</v>
      </c>
      <c r="B21" s="589">
        <f>B18/'wybrane dane finansowe'!B12</f>
        <v>5.30967453920947</v>
      </c>
      <c r="C21" s="589">
        <f t="shared" si="0"/>
        <v>1.2348080323742954</v>
      </c>
      <c r="D21" s="589">
        <f>D18/'wybrane dane finansowe'!D12</f>
        <v>4.849899914948434</v>
      </c>
      <c r="E21" s="590">
        <f t="shared" si="1"/>
        <v>1.1627945802940456</v>
      </c>
    </row>
    <row r="22" s="254" customFormat="1" ht="10.5" thickBot="1"/>
    <row r="23" spans="1:5" ht="10.5" thickBot="1">
      <c r="A23" s="533" t="s">
        <v>585</v>
      </c>
      <c r="B23" s="534"/>
      <c r="C23" s="534"/>
      <c r="D23" s="534"/>
      <c r="E23" s="535"/>
    </row>
    <row r="24" spans="1:5" ht="20.25">
      <c r="A24" s="517" t="s">
        <v>245</v>
      </c>
      <c r="B24" s="531">
        <f>RPP!C17</f>
        <v>-1217700</v>
      </c>
      <c r="C24" s="531">
        <f>B24/$C$31</f>
        <v>-285382.83062645013</v>
      </c>
      <c r="D24" s="531">
        <f>RPP!D17</f>
        <v>371605</v>
      </c>
      <c r="E24" s="531">
        <f>D24/$E$31</f>
        <v>87545.64515749052</v>
      </c>
    </row>
    <row r="25" spans="1:5" ht="20.25">
      <c r="A25" s="511" t="s">
        <v>248</v>
      </c>
      <c r="B25" s="526">
        <f>RPP!C30</f>
        <v>-110797</v>
      </c>
      <c r="C25" s="526">
        <f>B25/$C$31</f>
        <v>-25966.626825095504</v>
      </c>
      <c r="D25" s="526">
        <f>RPP!D30</f>
        <v>-385016</v>
      </c>
      <c r="E25" s="527">
        <f>D25/$E$31</f>
        <v>-90705.11461351803</v>
      </c>
    </row>
    <row r="26" spans="1:5" ht="21" thickBot="1">
      <c r="A26" s="515" t="s">
        <v>253</v>
      </c>
      <c r="B26" s="528">
        <f>RPP!C47</f>
        <v>1294814</v>
      </c>
      <c r="C26" s="528">
        <f>B26/$C$31</f>
        <v>303455.4360308421</v>
      </c>
      <c r="D26" s="528">
        <f>RPP!D47</f>
        <v>-46010</v>
      </c>
      <c r="E26" s="529">
        <f>D26/$E$31</f>
        <v>-10839.399722006267</v>
      </c>
    </row>
    <row r="27" spans="1:5" ht="9.75">
      <c r="A27" s="254"/>
      <c r="B27" s="254"/>
      <c r="C27" s="254"/>
      <c r="D27" s="254"/>
      <c r="E27" s="254"/>
    </row>
    <row r="28" spans="1:5" ht="9.75">
      <c r="A28" s="254"/>
      <c r="B28" s="254"/>
      <c r="C28" s="254"/>
      <c r="D28" s="254"/>
      <c r="E28" s="254"/>
    </row>
    <row r="29" spans="1:5" ht="9.75">
      <c r="A29" s="140" t="s">
        <v>586</v>
      </c>
      <c r="B29" s="140"/>
      <c r="C29" s="140">
        <v>2018</v>
      </c>
      <c r="D29" s="140"/>
      <c r="E29" s="140">
        <v>2017</v>
      </c>
    </row>
    <row r="30" spans="1:5" ht="9.75">
      <c r="A30" s="536" t="s">
        <v>587</v>
      </c>
      <c r="B30" s="254"/>
      <c r="C30" s="541">
        <v>4.3</v>
      </c>
      <c r="D30" s="254"/>
      <c r="E30" s="541">
        <v>4.1709</v>
      </c>
    </row>
    <row r="31" spans="1:5" ht="9.75">
      <c r="A31" s="536" t="s">
        <v>588</v>
      </c>
      <c r="B31" s="254"/>
      <c r="C31" s="541">
        <v>4.2669</v>
      </c>
      <c r="D31" s="254"/>
      <c r="E31" s="541">
        <v>4.2447</v>
      </c>
    </row>
    <row r="32" spans="1:5" ht="9.75">
      <c r="A32" s="254"/>
      <c r="B32" s="254"/>
      <c r="C32" s="254"/>
      <c r="D32" s="254"/>
      <c r="E32" s="254"/>
    </row>
    <row r="33" spans="1:5" ht="9.75">
      <c r="A33" s="254"/>
      <c r="B33" s="254"/>
      <c r="C33" s="254"/>
      <c r="D33" s="254"/>
      <c r="E33" s="254"/>
    </row>
    <row r="34" spans="1:5" ht="37.5" customHeight="1">
      <c r="A34" s="617" t="s">
        <v>589</v>
      </c>
      <c r="B34" s="617"/>
      <c r="C34" s="617"/>
      <c r="D34" s="617"/>
      <c r="E34" s="617"/>
    </row>
  </sheetData>
  <sheetProtection/>
  <mergeCells count="4">
    <mergeCell ref="A34:E34"/>
    <mergeCell ref="A1:C1"/>
    <mergeCell ref="B4:C4"/>
    <mergeCell ref="D4:E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4"/>
  <sheetViews>
    <sheetView showGridLines="0" view="pageBreakPreview" zoomScale="90" zoomScaleSheetLayoutView="90" zoomScalePageLayoutView="0" workbookViewId="0" topLeftCell="A1">
      <selection activeCell="H23" sqref="H23"/>
    </sheetView>
  </sheetViews>
  <sheetFormatPr defaultColWidth="9.28125" defaultRowHeight="12.75"/>
  <cols>
    <col min="1" max="1" width="54.7109375" style="275" customWidth="1"/>
    <col min="2" max="3" width="14.28125" style="275" customWidth="1"/>
    <col min="4" max="16384" width="9.28125" style="275" customWidth="1"/>
  </cols>
  <sheetData>
    <row r="1" ht="9.75">
      <c r="A1" s="282"/>
    </row>
    <row r="2" s="477" customFormat="1" ht="12.75">
      <c r="A2" s="506" t="s">
        <v>854</v>
      </c>
    </row>
    <row r="3" spans="2:3" s="284" customFormat="1" ht="9.75">
      <c r="B3" s="634"/>
      <c r="C3" s="634"/>
    </row>
    <row r="4" spans="1:3" s="284" customFormat="1" ht="9.75">
      <c r="A4" s="305" t="s">
        <v>381</v>
      </c>
      <c r="B4" s="596">
        <f>'Dane podstawowe'!$B$9</f>
        <v>43465</v>
      </c>
      <c r="C4" s="596">
        <f>'Dane podstawowe'!$B$14</f>
        <v>43100</v>
      </c>
    </row>
    <row r="5" spans="1:3" s="284" customFormat="1" ht="9.75">
      <c r="A5" s="199" t="s">
        <v>733</v>
      </c>
      <c r="B5" s="199">
        <v>21025</v>
      </c>
      <c r="C5" s="199">
        <v>28981</v>
      </c>
    </row>
    <row r="6" spans="1:3" s="284" customFormat="1" ht="9.75">
      <c r="A6" s="69" t="s">
        <v>830</v>
      </c>
      <c r="B6" s="199">
        <v>8087</v>
      </c>
      <c r="C6" s="199">
        <v>0</v>
      </c>
    </row>
    <row r="7" spans="1:3" s="284" customFormat="1" ht="9.75">
      <c r="A7" s="69" t="s">
        <v>836</v>
      </c>
      <c r="B7" s="199">
        <v>6144</v>
      </c>
      <c r="C7" s="199">
        <v>5745</v>
      </c>
    </row>
    <row r="8" spans="1:3" ht="9.75">
      <c r="A8" s="261" t="s">
        <v>831</v>
      </c>
      <c r="B8" s="293">
        <v>5599</v>
      </c>
      <c r="C8" s="293">
        <v>0</v>
      </c>
    </row>
    <row r="9" spans="1:3" s="284" customFormat="1" ht="9.75">
      <c r="A9" s="69" t="s">
        <v>832</v>
      </c>
      <c r="B9" s="199">
        <v>5100</v>
      </c>
      <c r="C9" s="199">
        <v>0</v>
      </c>
    </row>
    <row r="10" spans="1:3" s="284" customFormat="1" ht="9.75">
      <c r="A10" s="69" t="s">
        <v>629</v>
      </c>
      <c r="B10" s="199">
        <v>0</v>
      </c>
      <c r="C10" s="199">
        <v>697</v>
      </c>
    </row>
    <row r="11" spans="1:3" s="284" customFormat="1" ht="9.75">
      <c r="A11" s="69" t="s">
        <v>734</v>
      </c>
      <c r="B11" s="199">
        <v>0</v>
      </c>
      <c r="C11" s="199">
        <v>6128</v>
      </c>
    </row>
    <row r="12" spans="1:3" s="284" customFormat="1" ht="9.75">
      <c r="A12" s="69" t="s">
        <v>630</v>
      </c>
      <c r="B12" s="199">
        <v>3493</v>
      </c>
      <c r="C12" s="199">
        <v>11196</v>
      </c>
    </row>
    <row r="13" spans="1:3" s="284" customFormat="1" ht="9.75">
      <c r="A13" s="392" t="s">
        <v>738</v>
      </c>
      <c r="B13" s="288">
        <f>SUM(B5:B12)</f>
        <v>49448</v>
      </c>
      <c r="C13" s="288">
        <f>SUM(C5:C12)</f>
        <v>52747</v>
      </c>
    </row>
    <row r="14" spans="2:3" ht="9.75">
      <c r="B14" s="332">
        <f>Aktywa!D21-'NOTA 15 - RMK'!B13</f>
        <v>0</v>
      </c>
      <c r="C14" s="332">
        <f>Aktywa!E21-'NOTA 15 - RMK'!C13</f>
        <v>0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4"/>
  <sheetViews>
    <sheetView showGridLines="0" view="pageBreakPreview" zoomScale="90" zoomScaleSheetLayoutView="90" zoomScalePageLayoutView="0" workbookViewId="0" topLeftCell="A1">
      <selection activeCell="D5" sqref="D5"/>
    </sheetView>
  </sheetViews>
  <sheetFormatPr defaultColWidth="9.28125" defaultRowHeight="12.75"/>
  <cols>
    <col min="1" max="1" width="56.28125" style="155" customWidth="1"/>
    <col min="2" max="2" width="14.7109375" style="155" customWidth="1"/>
    <col min="3" max="3" width="14.28125" style="155" customWidth="1"/>
    <col min="4" max="6" width="9.28125" style="155" customWidth="1"/>
    <col min="7" max="16384" width="9.28125" style="52" customWidth="1"/>
  </cols>
  <sheetData>
    <row r="1" spans="1:6" ht="19.5" customHeight="1">
      <c r="A1" s="74"/>
      <c r="B1" s="52"/>
      <c r="C1" s="52"/>
      <c r="D1" s="52"/>
      <c r="E1" s="52"/>
      <c r="F1" s="52"/>
    </row>
    <row r="2" s="469" customFormat="1" ht="12.75">
      <c r="A2" s="468" t="s">
        <v>855</v>
      </c>
    </row>
    <row r="3" spans="1:3" ht="12.75">
      <c r="A3" s="71"/>
      <c r="B3" s="211"/>
      <c r="C3" s="211"/>
    </row>
    <row r="4" spans="1:3" ht="12.75">
      <c r="A4" s="71"/>
      <c r="B4" s="211"/>
      <c r="C4" s="211"/>
    </row>
    <row r="5" spans="1:3" ht="12.75">
      <c r="A5" s="133" t="s">
        <v>381</v>
      </c>
      <c r="B5" s="593">
        <v>43465</v>
      </c>
      <c r="C5" s="593">
        <v>43100</v>
      </c>
    </row>
    <row r="6" spans="1:3" ht="12.75">
      <c r="A6" s="121" t="s">
        <v>497</v>
      </c>
      <c r="B6" s="123">
        <f>SUM(B7:B9)</f>
        <v>198695</v>
      </c>
      <c r="C6" s="123">
        <f>SUM(C7:C9)</f>
        <v>232378</v>
      </c>
    </row>
    <row r="7" spans="1:3" ht="12.75">
      <c r="A7" s="120" t="s">
        <v>722</v>
      </c>
      <c r="B7" s="199">
        <v>4065</v>
      </c>
      <c r="C7" s="199">
        <v>15331</v>
      </c>
    </row>
    <row r="8" spans="1:3" ht="12.75">
      <c r="A8" s="120" t="s">
        <v>723</v>
      </c>
      <c r="B8" s="199">
        <v>174449</v>
      </c>
      <c r="C8" s="199">
        <v>194974</v>
      </c>
    </row>
    <row r="9" spans="1:3" ht="12.75">
      <c r="A9" s="120" t="s">
        <v>724</v>
      </c>
      <c r="B9" s="199">
        <v>20181</v>
      </c>
      <c r="C9" s="199">
        <v>22073</v>
      </c>
    </row>
    <row r="10" spans="1:3" ht="12.75">
      <c r="A10" s="152" t="s">
        <v>389</v>
      </c>
      <c r="B10" s="123">
        <f>SUM(B7:B9)</f>
        <v>198695</v>
      </c>
      <c r="C10" s="123">
        <f>SUM(C7:C9)</f>
        <v>232378</v>
      </c>
    </row>
    <row r="11" spans="1:3" ht="12.75">
      <c r="A11" s="71"/>
      <c r="B11" s="375">
        <f>B10-Aktywa!D22</f>
        <v>0</v>
      </c>
      <c r="C11" s="375">
        <f>C10-Aktywa!E22</f>
        <v>0</v>
      </c>
    </row>
    <row r="12" spans="1:3" ht="12.75">
      <c r="A12" s="71"/>
      <c r="B12" s="211"/>
      <c r="C12" s="211"/>
    </row>
    <row r="13" spans="1:3" ht="12.75">
      <c r="A13" s="71"/>
      <c r="B13" s="211"/>
      <c r="C13" s="211"/>
    </row>
    <row r="14" spans="1:3" ht="12.75">
      <c r="A14" s="71"/>
      <c r="B14" s="211"/>
      <c r="C14" s="2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117"/>
  <sheetViews>
    <sheetView showGridLines="0" view="pageBreakPreview" zoomScale="90" zoomScaleSheetLayoutView="90" zoomScalePageLayoutView="0" workbookViewId="0" topLeftCell="A86">
      <selection activeCell="K30" sqref="K30"/>
    </sheetView>
  </sheetViews>
  <sheetFormatPr defaultColWidth="9.28125" defaultRowHeight="12.75"/>
  <cols>
    <col min="1" max="1" width="3.57421875" style="52" customWidth="1"/>
    <col min="2" max="2" width="64.28125" style="52" customWidth="1"/>
    <col min="3" max="4" width="11.7109375" style="52" customWidth="1"/>
    <col min="5" max="5" width="10.7109375" style="52" customWidth="1"/>
    <col min="6" max="6" width="11.28125" style="52" customWidth="1"/>
    <col min="7" max="7" width="10.28125" style="52" customWidth="1"/>
    <col min="8" max="9" width="12.7109375" style="52" bestFit="1" customWidth="1"/>
    <col min="10" max="16384" width="9.28125" style="52" customWidth="1"/>
  </cols>
  <sheetData>
    <row r="1" ht="12.75">
      <c r="B1" s="74"/>
    </row>
    <row r="2" s="469" customFormat="1" ht="12.75">
      <c r="B2" s="468" t="s">
        <v>856</v>
      </c>
    </row>
    <row r="3" spans="3:5" s="2" customFormat="1" ht="9.75">
      <c r="C3" s="630"/>
      <c r="D3" s="630"/>
      <c r="E3" s="630"/>
    </row>
    <row r="4" spans="2:5" s="2" customFormat="1" ht="9.75">
      <c r="B4" s="133" t="s">
        <v>381</v>
      </c>
      <c r="C4" s="593">
        <f>'Dane podstawowe'!$B$9</f>
        <v>43465</v>
      </c>
      <c r="D4" s="593">
        <f>'Dane podstawowe'!$B$14</f>
        <v>43100</v>
      </c>
      <c r="E4" s="157"/>
    </row>
    <row r="5" spans="2:5" s="2" customFormat="1" ht="9.75">
      <c r="B5" s="75" t="s">
        <v>2</v>
      </c>
      <c r="C5" s="199">
        <v>2291551</v>
      </c>
      <c r="D5" s="199">
        <v>2291551</v>
      </c>
      <c r="E5" s="157"/>
    </row>
    <row r="6" spans="2:5" s="2" customFormat="1" ht="9.75">
      <c r="B6" s="357" t="str">
        <f>"Wartość nominalna akcji "</f>
        <v>Wartość nominalna akcji </v>
      </c>
      <c r="C6" s="571">
        <v>0.1</v>
      </c>
      <c r="D6" s="571">
        <v>0.1</v>
      </c>
      <c r="E6" s="157"/>
    </row>
    <row r="7" spans="2:5" s="2" customFormat="1" ht="9.75">
      <c r="B7" s="13" t="s">
        <v>227</v>
      </c>
      <c r="C7" s="123">
        <f>C5*C6</f>
        <v>229155.1</v>
      </c>
      <c r="D7" s="123">
        <f>D5*D6</f>
        <v>229155.1</v>
      </c>
      <c r="E7" s="157"/>
    </row>
    <row r="8" spans="2:5" s="2" customFormat="1" ht="9.75">
      <c r="B8" s="7"/>
      <c r="C8" s="332">
        <f>Pasywa!D4-'NOTA 17,18,19 - Kapitały'!C7</f>
        <v>-0.10000000000582077</v>
      </c>
      <c r="D8" s="332">
        <f>Pasywa!E4-'NOTA 17,18,19 - Kapitały'!D7</f>
        <v>-0.10000000000582077</v>
      </c>
      <c r="E8" s="157"/>
    </row>
    <row r="9" spans="2:5" s="2" customFormat="1" ht="9.75">
      <c r="B9" s="7"/>
      <c r="C9" s="157"/>
      <c r="D9" s="157"/>
      <c r="E9" s="157"/>
    </row>
    <row r="10" spans="2:5" s="2" customFormat="1" ht="9.75">
      <c r="B10" s="7" t="s">
        <v>793</v>
      </c>
      <c r="C10" s="157"/>
      <c r="D10" s="157"/>
      <c r="E10" s="157"/>
    </row>
    <row r="11" s="2" customFormat="1" ht="9.75"/>
    <row r="12" spans="2:9" s="2" customFormat="1" ht="40.5">
      <c r="B12" s="184" t="s">
        <v>153</v>
      </c>
      <c r="C12" s="134" t="s">
        <v>525</v>
      </c>
      <c r="D12" s="134" t="s">
        <v>526</v>
      </c>
      <c r="E12" s="134" t="s">
        <v>2</v>
      </c>
      <c r="F12" s="95" t="s">
        <v>152</v>
      </c>
      <c r="G12" s="134" t="s">
        <v>527</v>
      </c>
      <c r="H12" s="134" t="s">
        <v>528</v>
      </c>
      <c r="I12" s="133" t="s">
        <v>149</v>
      </c>
    </row>
    <row r="13" spans="2:9" s="2" customFormat="1" ht="9.75">
      <c r="B13" s="358" t="s">
        <v>631</v>
      </c>
      <c r="C13" s="466" t="s">
        <v>632</v>
      </c>
      <c r="D13" s="466"/>
      <c r="E13" s="207">
        <v>2000000</v>
      </c>
      <c r="F13" s="556">
        <v>0.1</v>
      </c>
      <c r="G13" s="207">
        <f>E13*F13</f>
        <v>200000</v>
      </c>
      <c r="H13" s="113"/>
      <c r="I13" s="8"/>
    </row>
    <row r="14" spans="2:9" s="2" customFormat="1" ht="9.75">
      <c r="B14" s="358" t="s">
        <v>633</v>
      </c>
      <c r="C14" s="466" t="s">
        <v>632</v>
      </c>
      <c r="D14" s="557"/>
      <c r="E14" s="207">
        <v>215500</v>
      </c>
      <c r="F14" s="556">
        <v>0.1</v>
      </c>
      <c r="G14" s="207">
        <f>E14*F14</f>
        <v>21550</v>
      </c>
      <c r="H14" s="113"/>
      <c r="I14" s="8"/>
    </row>
    <row r="15" spans="2:9" s="2" customFormat="1" ht="9.75">
      <c r="B15" s="358" t="s">
        <v>676</v>
      </c>
      <c r="C15" s="466" t="s">
        <v>632</v>
      </c>
      <c r="D15" s="11"/>
      <c r="E15" s="161">
        <v>31741</v>
      </c>
      <c r="F15" s="556">
        <v>0.1</v>
      </c>
      <c r="G15" s="161">
        <f>E15*F15</f>
        <v>3174.1000000000004</v>
      </c>
      <c r="H15" s="113"/>
      <c r="I15" s="8"/>
    </row>
    <row r="16" spans="2:9" s="2" customFormat="1" ht="9.75">
      <c r="B16" s="358" t="s">
        <v>677</v>
      </c>
      <c r="C16" s="466" t="s">
        <v>632</v>
      </c>
      <c r="D16" s="11"/>
      <c r="E16" s="161">
        <v>44310</v>
      </c>
      <c r="F16" s="556">
        <v>0.1</v>
      </c>
      <c r="G16" s="161">
        <f>E16*F16</f>
        <v>4431</v>
      </c>
      <c r="H16" s="113"/>
      <c r="I16" s="8"/>
    </row>
    <row r="17" spans="2:7" s="2" customFormat="1" ht="9.75">
      <c r="B17" s="6"/>
      <c r="C17" s="6"/>
      <c r="D17" s="6"/>
      <c r="E17" s="6"/>
      <c r="F17" s="390"/>
      <c r="G17" s="10"/>
    </row>
    <row r="18" spans="2:6" s="2" customFormat="1" ht="9.75">
      <c r="B18" s="12" t="s">
        <v>198</v>
      </c>
      <c r="C18" s="12"/>
      <c r="D18" s="12"/>
      <c r="E18" s="12"/>
      <c r="F18" s="12"/>
    </row>
    <row r="19" spans="2:6" s="2" customFormat="1" ht="9.75">
      <c r="B19" s="12"/>
      <c r="C19" s="12"/>
      <c r="D19" s="12"/>
      <c r="E19" s="12"/>
      <c r="F19" s="12"/>
    </row>
    <row r="20" spans="2:6" s="2" customFormat="1" ht="20.25">
      <c r="B20" s="184" t="s">
        <v>524</v>
      </c>
      <c r="C20" s="134" t="s">
        <v>2</v>
      </c>
      <c r="D20" s="134" t="s">
        <v>529</v>
      </c>
      <c r="E20" s="134" t="s">
        <v>530</v>
      </c>
      <c r="F20" s="134" t="s">
        <v>531</v>
      </c>
    </row>
    <row r="21" spans="2:6" s="2" customFormat="1" ht="9.75">
      <c r="B21" s="358" t="s">
        <v>828</v>
      </c>
      <c r="C21" s="207">
        <v>1499720</v>
      </c>
      <c r="D21" s="560">
        <f>C21/$C$24</f>
        <v>0.654456304921863</v>
      </c>
      <c r="E21" s="207">
        <v>1499720</v>
      </c>
      <c r="F21" s="560">
        <f>E21/$E$24</f>
        <v>0.654456304921863</v>
      </c>
    </row>
    <row r="22" spans="2:6" s="2" customFormat="1" ht="9.75">
      <c r="B22" s="358" t="s">
        <v>635</v>
      </c>
      <c r="C22" s="207">
        <v>562401</v>
      </c>
      <c r="D22" s="560">
        <f>C22/$C$24</f>
        <v>0.24542373265967024</v>
      </c>
      <c r="E22" s="207">
        <v>562401</v>
      </c>
      <c r="F22" s="560">
        <f>E22/$E$24</f>
        <v>0.24542373265967024</v>
      </c>
    </row>
    <row r="23" spans="2:6" s="2" customFormat="1" ht="9.75">
      <c r="B23" s="358" t="s">
        <v>211</v>
      </c>
      <c r="C23" s="207">
        <v>229430</v>
      </c>
      <c r="D23" s="560">
        <f>C23/$C$24</f>
        <v>0.1001199624184668</v>
      </c>
      <c r="E23" s="207">
        <v>229430</v>
      </c>
      <c r="F23" s="560">
        <f>E23/$E$24</f>
        <v>0.1001199624184668</v>
      </c>
    </row>
    <row r="24" spans="2:6" s="2" customFormat="1" ht="9.75">
      <c r="B24" s="152" t="s">
        <v>389</v>
      </c>
      <c r="C24" s="123">
        <f>SUM(C21:C23)</f>
        <v>2291551</v>
      </c>
      <c r="D24" s="561">
        <f>SUM(D21:D23)</f>
        <v>1</v>
      </c>
      <c r="E24" s="123">
        <f>SUM(E21:E23)</f>
        <v>2291551</v>
      </c>
      <c r="F24" s="561">
        <f>SUM(F21:F23)</f>
        <v>1</v>
      </c>
    </row>
    <row r="25" spans="2:6" s="2" customFormat="1" ht="9.75">
      <c r="B25" s="71"/>
      <c r="C25" s="220"/>
      <c r="D25" s="563"/>
      <c r="E25" s="220"/>
      <c r="F25" s="563"/>
    </row>
    <row r="26" spans="2:6" s="2" customFormat="1" ht="9.75">
      <c r="B26" s="71"/>
      <c r="C26" s="220"/>
      <c r="D26" s="563"/>
      <c r="E26" s="220"/>
      <c r="F26" s="563"/>
    </row>
    <row r="27" spans="2:6" s="2" customFormat="1" ht="9.75">
      <c r="B27" s="71" t="s">
        <v>698</v>
      </c>
      <c r="C27" s="220"/>
      <c r="D27" s="563"/>
      <c r="E27" s="220"/>
      <c r="F27" s="563"/>
    </row>
    <row r="28" spans="2:6" s="2" customFormat="1" ht="9.75">
      <c r="B28" s="71"/>
      <c r="C28" s="220"/>
      <c r="D28" s="563"/>
      <c r="E28" s="220"/>
      <c r="F28" s="563"/>
    </row>
    <row r="29" spans="2:9" s="2" customFormat="1" ht="40.5">
      <c r="B29" s="184" t="s">
        <v>153</v>
      </c>
      <c r="C29" s="134" t="s">
        <v>525</v>
      </c>
      <c r="D29" s="134" t="s">
        <v>526</v>
      </c>
      <c r="E29" s="134" t="s">
        <v>2</v>
      </c>
      <c r="F29" s="95" t="s">
        <v>152</v>
      </c>
      <c r="G29" s="134" t="s">
        <v>527</v>
      </c>
      <c r="H29" s="134" t="s">
        <v>528</v>
      </c>
      <c r="I29" s="133" t="s">
        <v>149</v>
      </c>
    </row>
    <row r="30" spans="2:9" s="2" customFormat="1" ht="12.75" customHeight="1">
      <c r="B30" s="358" t="s">
        <v>631</v>
      </c>
      <c r="C30" s="466" t="s">
        <v>632</v>
      </c>
      <c r="D30" s="466"/>
      <c r="E30" s="207">
        <v>2000000</v>
      </c>
      <c r="F30" s="556">
        <v>0.1</v>
      </c>
      <c r="G30" s="207">
        <f aca="true" t="shared" si="0" ref="G30:G35">E30*F30</f>
        <v>200000</v>
      </c>
      <c r="H30" s="113"/>
      <c r="I30" s="8"/>
    </row>
    <row r="31" spans="2:9" s="2" customFormat="1" ht="9.75">
      <c r="B31" s="358" t="s">
        <v>633</v>
      </c>
      <c r="C31" s="466" t="s">
        <v>632</v>
      </c>
      <c r="D31" s="557"/>
      <c r="E31" s="207">
        <v>215500</v>
      </c>
      <c r="F31" s="556">
        <v>0.1</v>
      </c>
      <c r="G31" s="207">
        <f t="shared" si="0"/>
        <v>21550</v>
      </c>
      <c r="H31" s="113"/>
      <c r="I31" s="8"/>
    </row>
    <row r="32" spans="2:9" s="2" customFormat="1" ht="9.75">
      <c r="B32" s="358" t="s">
        <v>676</v>
      </c>
      <c r="C32" s="466" t="s">
        <v>632</v>
      </c>
      <c r="D32" s="11"/>
      <c r="E32" s="161">
        <v>31741</v>
      </c>
      <c r="F32" s="556">
        <v>0.1</v>
      </c>
      <c r="G32" s="161">
        <f>E32*F32</f>
        <v>3174.1000000000004</v>
      </c>
      <c r="H32" s="113"/>
      <c r="I32" s="8"/>
    </row>
    <row r="33" spans="2:9" s="2" customFormat="1" ht="9.75">
      <c r="B33" s="358" t="s">
        <v>677</v>
      </c>
      <c r="C33" s="466" t="s">
        <v>632</v>
      </c>
      <c r="D33" s="11"/>
      <c r="E33" s="161">
        <v>44310</v>
      </c>
      <c r="F33" s="556">
        <v>0.1</v>
      </c>
      <c r="G33" s="161">
        <f>E33*F33</f>
        <v>4431</v>
      </c>
      <c r="H33" s="113"/>
      <c r="I33" s="8"/>
    </row>
    <row r="34" spans="2:9" s="2" customFormat="1" ht="9.75" hidden="1">
      <c r="B34" s="180"/>
      <c r="C34" s="9"/>
      <c r="D34" s="11"/>
      <c r="E34" s="161"/>
      <c r="F34" s="113"/>
      <c r="G34" s="161">
        <f t="shared" si="0"/>
        <v>0</v>
      </c>
      <c r="H34" s="113"/>
      <c r="I34" s="8"/>
    </row>
    <row r="35" spans="2:9" s="2" customFormat="1" ht="9.75" hidden="1">
      <c r="B35" s="180"/>
      <c r="C35" s="9"/>
      <c r="D35" s="11"/>
      <c r="E35" s="161"/>
      <c r="F35" s="113"/>
      <c r="G35" s="161">
        <f t="shared" si="0"/>
        <v>0</v>
      </c>
      <c r="H35" s="113"/>
      <c r="I35" s="8"/>
    </row>
    <row r="36" spans="2:8" s="2" customFormat="1" ht="9.75">
      <c r="B36" s="564"/>
      <c r="C36" s="565"/>
      <c r="D36" s="566"/>
      <c r="E36" s="567"/>
      <c r="F36" s="386"/>
      <c r="G36" s="567"/>
      <c r="H36" s="386"/>
    </row>
    <row r="37" spans="2:8" s="2" customFormat="1" ht="9.75">
      <c r="B37" s="564"/>
      <c r="C37" s="565"/>
      <c r="D37" s="566"/>
      <c r="E37" s="567"/>
      <c r="F37" s="386"/>
      <c r="G37" s="567"/>
      <c r="H37" s="386"/>
    </row>
    <row r="38" spans="2:6" s="2" customFormat="1" ht="9.75">
      <c r="B38" s="71" t="s">
        <v>655</v>
      </c>
      <c r="C38" s="220"/>
      <c r="D38" s="563"/>
      <c r="E38" s="220"/>
      <c r="F38" s="563"/>
    </row>
    <row r="39" spans="2:6" s="2" customFormat="1" ht="9.75">
      <c r="B39" s="71"/>
      <c r="C39" s="220"/>
      <c r="D39" s="563"/>
      <c r="E39" s="220"/>
      <c r="F39" s="563"/>
    </row>
    <row r="40" spans="2:6" s="2" customFormat="1" ht="20.25">
      <c r="B40" s="184" t="s">
        <v>524</v>
      </c>
      <c r="C40" s="134" t="s">
        <v>2</v>
      </c>
      <c r="D40" s="134" t="s">
        <v>529</v>
      </c>
      <c r="E40" s="134" t="s">
        <v>530</v>
      </c>
      <c r="F40" s="134" t="s">
        <v>531</v>
      </c>
    </row>
    <row r="41" spans="2:6" s="2" customFormat="1" ht="9.75">
      <c r="B41" s="358" t="s">
        <v>634</v>
      </c>
      <c r="C41" s="207">
        <v>801544</v>
      </c>
      <c r="D41" s="560">
        <f aca="true" t="shared" si="1" ref="D41:D46">C41/$C$47</f>
        <v>0.34978230901254215</v>
      </c>
      <c r="E41" s="207">
        <v>801544</v>
      </c>
      <c r="F41" s="560">
        <f aca="true" t="shared" si="2" ref="F41:F46">E41/$E$47</f>
        <v>0.34978230901254215</v>
      </c>
    </row>
    <row r="42" spans="2:6" s="2" customFormat="1" ht="9.75">
      <c r="B42" s="358" t="s">
        <v>635</v>
      </c>
      <c r="C42" s="207">
        <v>595530</v>
      </c>
      <c r="D42" s="560">
        <f t="shared" si="1"/>
        <v>0.25988075325401877</v>
      </c>
      <c r="E42" s="207">
        <v>595530</v>
      </c>
      <c r="F42" s="560">
        <f t="shared" si="2"/>
        <v>0.25988075325401877</v>
      </c>
    </row>
    <row r="43" spans="2:6" s="2" customFormat="1" ht="9.75">
      <c r="B43" s="358" t="s">
        <v>705</v>
      </c>
      <c r="C43" s="207">
        <v>240719</v>
      </c>
      <c r="D43" s="560">
        <f t="shared" si="1"/>
        <v>0.10504632015608642</v>
      </c>
      <c r="E43" s="207">
        <v>240719</v>
      </c>
      <c r="F43" s="560">
        <f t="shared" si="2"/>
        <v>0.10504632015608642</v>
      </c>
    </row>
    <row r="44" spans="2:6" s="2" customFormat="1" ht="9.75">
      <c r="B44" s="358" t="s">
        <v>636</v>
      </c>
      <c r="C44" s="207">
        <v>135200</v>
      </c>
      <c r="D44" s="560">
        <f t="shared" si="1"/>
        <v>0.058999341494036135</v>
      </c>
      <c r="E44" s="207">
        <v>135200</v>
      </c>
      <c r="F44" s="560">
        <f t="shared" si="2"/>
        <v>0.058999341494036135</v>
      </c>
    </row>
    <row r="45" spans="2:6" s="2" customFormat="1" ht="9.75">
      <c r="B45" s="358" t="s">
        <v>637</v>
      </c>
      <c r="C45" s="207">
        <v>122138</v>
      </c>
      <c r="D45" s="560">
        <f t="shared" si="1"/>
        <v>0.05329927197780019</v>
      </c>
      <c r="E45" s="207">
        <v>122138</v>
      </c>
      <c r="F45" s="560">
        <f t="shared" si="2"/>
        <v>0.05329927197780019</v>
      </c>
    </row>
    <row r="46" spans="2:6" s="2" customFormat="1" ht="9.75">
      <c r="B46" s="358" t="s">
        <v>211</v>
      </c>
      <c r="C46" s="207">
        <v>396420</v>
      </c>
      <c r="D46" s="560">
        <f t="shared" si="1"/>
        <v>0.1729920041055163</v>
      </c>
      <c r="E46" s="207">
        <v>396420</v>
      </c>
      <c r="F46" s="560">
        <f t="shared" si="2"/>
        <v>0.1729920041055163</v>
      </c>
    </row>
    <row r="47" spans="2:6" s="2" customFormat="1" ht="9.75">
      <c r="B47" s="152" t="s">
        <v>389</v>
      </c>
      <c r="C47" s="123">
        <f>SUM(C41:C46)</f>
        <v>2291551</v>
      </c>
      <c r="D47" s="561">
        <f>SUM(D41:D46)</f>
        <v>0.9999999999999999</v>
      </c>
      <c r="E47" s="123">
        <f>SUM(E41:E46)</f>
        <v>2291551</v>
      </c>
      <c r="F47" s="561">
        <f>SUM(F41:F46)</f>
        <v>0.9999999999999999</v>
      </c>
    </row>
    <row r="48" spans="2:6" s="2" customFormat="1" ht="9.75">
      <c r="B48" s="71"/>
      <c r="C48" s="220"/>
      <c r="D48" s="563"/>
      <c r="E48" s="220"/>
      <c r="F48" s="563"/>
    </row>
    <row r="49" spans="2:6" s="2" customFormat="1" ht="9.75">
      <c r="B49" s="71"/>
      <c r="C49" s="220"/>
      <c r="D49" s="563"/>
      <c r="E49" s="220"/>
      <c r="F49" s="563"/>
    </row>
    <row r="50" s="2" customFormat="1" ht="9.75"/>
    <row r="51" s="2" customFormat="1" ht="9.75">
      <c r="B51" s="71" t="s">
        <v>136</v>
      </c>
    </row>
    <row r="52" s="2" customFormat="1" ht="9.75"/>
    <row r="53" spans="2:5" s="2" customFormat="1" ht="20.25">
      <c r="B53" s="159" t="s">
        <v>381</v>
      </c>
      <c r="C53" s="186" t="str">
        <f>'Dane podstawowe'!$B$7</f>
        <v>01.01.2018 - 31.12.2018</v>
      </c>
      <c r="D53" s="186" t="str">
        <f>'Dane podstawowe'!$B$12</f>
        <v>01.01.2017 - 31.12.2017</v>
      </c>
      <c r="E53" s="157"/>
    </row>
    <row r="54" spans="2:5" s="2" customFormat="1" ht="9.75">
      <c r="B54" s="77" t="s">
        <v>137</v>
      </c>
      <c r="C54" s="162">
        <f>D62</f>
        <v>229155</v>
      </c>
      <c r="D54" s="162">
        <v>229155</v>
      </c>
      <c r="E54" s="157"/>
    </row>
    <row r="55" spans="2:5" s="119" customFormat="1" ht="9.75">
      <c r="B55" s="210" t="s">
        <v>138</v>
      </c>
      <c r="C55" s="359">
        <f>SUM(C56:C57)</f>
        <v>0</v>
      </c>
      <c r="D55" s="359">
        <f>SUM(D56:D57)</f>
        <v>0</v>
      </c>
      <c r="E55" s="338"/>
    </row>
    <row r="56" spans="2:5" s="2" customFormat="1" ht="9.75">
      <c r="B56" s="364" t="s">
        <v>681</v>
      </c>
      <c r="C56" s="161">
        <v>0</v>
      </c>
      <c r="D56" s="161">
        <v>0</v>
      </c>
      <c r="E56" s="157"/>
    </row>
    <row r="57" spans="2:5" s="2" customFormat="1" ht="9.75">
      <c r="B57" s="364" t="s">
        <v>682</v>
      </c>
      <c r="C57" s="161">
        <v>0</v>
      </c>
      <c r="D57" s="161">
        <v>0</v>
      </c>
      <c r="E57" s="157"/>
    </row>
    <row r="58" spans="2:5" s="119" customFormat="1" ht="9.75">
      <c r="B58" s="210" t="s">
        <v>139</v>
      </c>
      <c r="C58" s="359">
        <f>SUM(C59:C60)</f>
        <v>0</v>
      </c>
      <c r="D58" s="359">
        <f>SUM(D59:D60)</f>
        <v>0</v>
      </c>
      <c r="E58" s="338"/>
    </row>
    <row r="59" spans="2:5" s="2" customFormat="1" ht="9.75" hidden="1">
      <c r="B59" s="183" t="s">
        <v>151</v>
      </c>
      <c r="C59" s="161"/>
      <c r="D59" s="161"/>
      <c r="E59" s="157"/>
    </row>
    <row r="60" spans="2:5" s="2" customFormat="1" ht="9.75" hidden="1">
      <c r="B60" s="183" t="s">
        <v>151</v>
      </c>
      <c r="C60" s="161"/>
      <c r="D60" s="161"/>
      <c r="E60" s="157"/>
    </row>
    <row r="61" spans="2:5" s="2" customFormat="1" ht="9.75" hidden="1">
      <c r="B61" s="182" t="s">
        <v>150</v>
      </c>
      <c r="C61" s="213"/>
      <c r="D61" s="213"/>
      <c r="E61" s="157"/>
    </row>
    <row r="62" spans="2:5" s="2" customFormat="1" ht="9.75">
      <c r="B62" s="82" t="s">
        <v>140</v>
      </c>
      <c r="C62" s="214">
        <f>SUM(C54:C55,-C58)</f>
        <v>229155</v>
      </c>
      <c r="D62" s="214">
        <f>SUM(D54:D55,-D58)</f>
        <v>229155</v>
      </c>
      <c r="E62" s="157"/>
    </row>
    <row r="63" spans="3:4" s="2" customFormat="1" ht="9.75">
      <c r="C63" s="381">
        <f>Pasywa!D4-'NOTA 17,18,19 - Kapitały'!C62</f>
        <v>0</v>
      </c>
      <c r="D63" s="381">
        <f>Pasywa!E4-'NOTA 17,18,19 - Kapitały'!D62</f>
        <v>0</v>
      </c>
    </row>
    <row r="64" s="2" customFormat="1" ht="9.75"/>
    <row r="65" spans="2:5" s="469" customFormat="1" ht="12.75">
      <c r="B65" s="468" t="s">
        <v>858</v>
      </c>
      <c r="E65" s="486"/>
    </row>
    <row r="66" spans="2:5" s="2" customFormat="1" ht="9.75">
      <c r="B66" s="71"/>
      <c r="E66" s="157"/>
    </row>
    <row r="67" spans="2:5" s="2" customFormat="1" ht="9.75">
      <c r="B67" s="187"/>
      <c r="C67" s="593">
        <f>'Dane podstawowe'!$B$9</f>
        <v>43465</v>
      </c>
      <c r="D67" s="593">
        <f>'Dane podstawowe'!$B$14</f>
        <v>43100</v>
      </c>
      <c r="E67" s="157"/>
    </row>
    <row r="68" spans="2:5" s="2" customFormat="1" ht="9.75">
      <c r="B68" s="65" t="s">
        <v>104</v>
      </c>
      <c r="C68" s="106">
        <v>4514124</v>
      </c>
      <c r="D68" s="106">
        <v>4341065</v>
      </c>
      <c r="E68" s="157"/>
    </row>
    <row r="69" spans="2:5" s="2" customFormat="1" ht="9.75">
      <c r="B69" s="145" t="s">
        <v>154</v>
      </c>
      <c r="C69" s="106">
        <v>5618880</v>
      </c>
      <c r="D69" s="106">
        <v>5618879.55</v>
      </c>
      <c r="E69" s="157"/>
    </row>
    <row r="70" spans="2:5" s="2" customFormat="1" ht="9.75">
      <c r="B70" s="145" t="s">
        <v>155</v>
      </c>
      <c r="C70" s="106">
        <v>738929</v>
      </c>
      <c r="D70" s="106">
        <v>738929</v>
      </c>
      <c r="E70" s="157"/>
    </row>
    <row r="71" spans="2:5" s="2" customFormat="1" ht="9.75">
      <c r="B71" s="188" t="s">
        <v>42</v>
      </c>
      <c r="C71" s="104">
        <f>SUM(C68:C70)</f>
        <v>10871933</v>
      </c>
      <c r="D71" s="104">
        <f>SUM(D68:D70)</f>
        <v>10698873.55</v>
      </c>
      <c r="E71" s="157"/>
    </row>
    <row r="72" spans="2:5" s="2" customFormat="1" ht="9.75">
      <c r="B72" s="137"/>
      <c r="C72" s="128"/>
      <c r="D72" s="128"/>
      <c r="E72" s="157"/>
    </row>
    <row r="73" s="2" customFormat="1" ht="9.75"/>
    <row r="74" s="60" customFormat="1" ht="9.75">
      <c r="B74" s="141" t="s">
        <v>165</v>
      </c>
    </row>
    <row r="75" s="2" customFormat="1" ht="9.75"/>
    <row r="76" spans="2:6" s="2" customFormat="1" ht="30">
      <c r="B76" s="95" t="s">
        <v>381</v>
      </c>
      <c r="C76" s="95" t="s">
        <v>104</v>
      </c>
      <c r="D76" s="95" t="s">
        <v>154</v>
      </c>
      <c r="E76" s="95" t="s">
        <v>156</v>
      </c>
      <c r="F76" s="95" t="s">
        <v>389</v>
      </c>
    </row>
    <row r="77" spans="2:6" s="71" customFormat="1" ht="9.75">
      <c r="B77" s="597">
        <f>'Dane podstawowe'!B8</f>
        <v>43101</v>
      </c>
      <c r="C77" s="162">
        <f>C108</f>
        <v>4341065</v>
      </c>
      <c r="D77" s="162">
        <f>D108</f>
        <v>5618879.55</v>
      </c>
      <c r="E77" s="162">
        <f>E108</f>
        <v>738929</v>
      </c>
      <c r="F77" s="162">
        <f>SUM(C77:E77)</f>
        <v>10698873.55</v>
      </c>
    </row>
    <row r="78" spans="2:6" s="53" customFormat="1" ht="9.75">
      <c r="B78" s="210" t="s">
        <v>162</v>
      </c>
      <c r="C78" s="359">
        <f>SUM(C79:C84)</f>
        <v>173059</v>
      </c>
      <c r="D78" s="359">
        <f>SUM(D79:D84)</f>
        <v>0</v>
      </c>
      <c r="E78" s="359">
        <f>SUM(E79:E84)</f>
        <v>0</v>
      </c>
      <c r="F78" s="359">
        <f aca="true" t="shared" si="3" ref="F78:F108">SUM(C78:E78)</f>
        <v>173059</v>
      </c>
    </row>
    <row r="79" spans="2:6" s="62" customFormat="1" ht="9.75">
      <c r="B79" s="360" t="s">
        <v>157</v>
      </c>
      <c r="C79" s="207">
        <v>0</v>
      </c>
      <c r="D79" s="207">
        <v>0</v>
      </c>
      <c r="E79" s="199">
        <v>0</v>
      </c>
      <c r="F79" s="207">
        <f t="shared" si="3"/>
        <v>0</v>
      </c>
    </row>
    <row r="80" spans="2:6" s="62" customFormat="1" ht="9.75">
      <c r="B80" s="360" t="s">
        <v>158</v>
      </c>
      <c r="C80" s="207">
        <v>0</v>
      </c>
      <c r="D80" s="207">
        <v>0</v>
      </c>
      <c r="E80" s="199">
        <v>0</v>
      </c>
      <c r="F80" s="207">
        <f t="shared" si="3"/>
        <v>0</v>
      </c>
    </row>
    <row r="81" spans="2:6" s="62" customFormat="1" ht="9.75">
      <c r="B81" s="360" t="s">
        <v>307</v>
      </c>
      <c r="C81" s="207">
        <v>0</v>
      </c>
      <c r="D81" s="207">
        <v>0</v>
      </c>
      <c r="E81" s="199">
        <v>0</v>
      </c>
      <c r="F81" s="207">
        <f t="shared" si="3"/>
        <v>0</v>
      </c>
    </row>
    <row r="82" spans="2:6" s="62" customFormat="1" ht="9.75">
      <c r="B82" s="360" t="s">
        <v>158</v>
      </c>
      <c r="C82" s="207">
        <v>0</v>
      </c>
      <c r="D82" s="207">
        <v>0</v>
      </c>
      <c r="E82" s="199">
        <v>0</v>
      </c>
      <c r="F82" s="207">
        <f t="shared" si="3"/>
        <v>0</v>
      </c>
    </row>
    <row r="83" spans="2:6" s="62" customFormat="1" ht="9.75">
      <c r="B83" s="360" t="s">
        <v>160</v>
      </c>
      <c r="C83" s="207">
        <v>173059</v>
      </c>
      <c r="D83" s="207">
        <v>0</v>
      </c>
      <c r="E83" s="199">
        <v>0</v>
      </c>
      <c r="F83" s="207">
        <f t="shared" si="3"/>
        <v>173059</v>
      </c>
    </row>
    <row r="84" spans="2:6" s="62" customFormat="1" ht="9.75">
      <c r="B84" s="360" t="s">
        <v>161</v>
      </c>
      <c r="C84" s="207">
        <v>0</v>
      </c>
      <c r="D84" s="207">
        <v>0</v>
      </c>
      <c r="E84" s="199">
        <v>0</v>
      </c>
      <c r="F84" s="207">
        <f t="shared" si="3"/>
        <v>0</v>
      </c>
    </row>
    <row r="85" spans="2:6" s="53" customFormat="1" ht="9.75">
      <c r="B85" s="210" t="s">
        <v>163</v>
      </c>
      <c r="C85" s="359">
        <f>SUM(C86:C91)</f>
        <v>0</v>
      </c>
      <c r="D85" s="359">
        <f>SUM(D86:D91)</f>
        <v>0</v>
      </c>
      <c r="E85" s="359">
        <f>SUM(E86:E91)</f>
        <v>0</v>
      </c>
      <c r="F85" s="359">
        <f t="shared" si="3"/>
        <v>0</v>
      </c>
    </row>
    <row r="86" spans="2:6" s="62" customFormat="1" ht="9.75">
      <c r="B86" s="360" t="s">
        <v>157</v>
      </c>
      <c r="C86" s="207">
        <v>0</v>
      </c>
      <c r="D86" s="207">
        <v>0</v>
      </c>
      <c r="E86" s="199">
        <v>0</v>
      </c>
      <c r="F86" s="207">
        <f t="shared" si="3"/>
        <v>0</v>
      </c>
    </row>
    <row r="87" spans="2:6" s="62" customFormat="1" ht="9.75">
      <c r="B87" s="360" t="s">
        <v>258</v>
      </c>
      <c r="C87" s="207">
        <v>0</v>
      </c>
      <c r="D87" s="207">
        <v>0</v>
      </c>
      <c r="E87" s="199">
        <v>0</v>
      </c>
      <c r="F87" s="207">
        <f t="shared" si="3"/>
        <v>0</v>
      </c>
    </row>
    <row r="88" spans="2:6" s="62" customFormat="1" ht="9.75">
      <c r="B88" s="360" t="s">
        <v>159</v>
      </c>
      <c r="C88" s="207">
        <v>0</v>
      </c>
      <c r="D88" s="207">
        <v>0</v>
      </c>
      <c r="E88" s="199">
        <v>0</v>
      </c>
      <c r="F88" s="207">
        <f t="shared" si="3"/>
        <v>0</v>
      </c>
    </row>
    <row r="89" spans="2:6" s="62" customFormat="1" ht="9.75">
      <c r="B89" s="360" t="s">
        <v>158</v>
      </c>
      <c r="C89" s="207">
        <v>0</v>
      </c>
      <c r="D89" s="207">
        <v>0</v>
      </c>
      <c r="E89" s="199">
        <v>0</v>
      </c>
      <c r="F89" s="207">
        <f t="shared" si="3"/>
        <v>0</v>
      </c>
    </row>
    <row r="90" spans="2:6" s="62" customFormat="1" ht="9.75">
      <c r="B90" s="360" t="s">
        <v>160</v>
      </c>
      <c r="C90" s="207">
        <v>0</v>
      </c>
      <c r="D90" s="207">
        <v>0</v>
      </c>
      <c r="E90" s="199">
        <v>0</v>
      </c>
      <c r="F90" s="207">
        <f t="shared" si="3"/>
        <v>0</v>
      </c>
    </row>
    <row r="91" spans="2:6" s="62" customFormat="1" ht="9.75">
      <c r="B91" s="360" t="s">
        <v>161</v>
      </c>
      <c r="C91" s="207">
        <v>0</v>
      </c>
      <c r="D91" s="207">
        <v>0</v>
      </c>
      <c r="E91" s="199">
        <v>0</v>
      </c>
      <c r="F91" s="207">
        <f t="shared" si="3"/>
        <v>0</v>
      </c>
    </row>
    <row r="92" spans="2:6" s="71" customFormat="1" ht="9.75">
      <c r="B92" s="597">
        <f>'Dane podstawowe'!B9</f>
        <v>43465</v>
      </c>
      <c r="C92" s="162">
        <f>C77+C78-C85</f>
        <v>4514124</v>
      </c>
      <c r="D92" s="162">
        <f>D77+D78-D85</f>
        <v>5618879.55</v>
      </c>
      <c r="E92" s="162">
        <f>E77+E78-E85</f>
        <v>738929</v>
      </c>
      <c r="F92" s="162">
        <f>F77+F78-F85</f>
        <v>10871932.55</v>
      </c>
    </row>
    <row r="93" spans="2:6" s="71" customFormat="1" ht="9.75">
      <c r="B93" s="597">
        <f>'Dane podstawowe'!B13</f>
        <v>42736</v>
      </c>
      <c r="C93" s="162">
        <v>2902140</v>
      </c>
      <c r="D93" s="162">
        <v>5618879.55</v>
      </c>
      <c r="E93" s="162">
        <v>738929</v>
      </c>
      <c r="F93" s="162">
        <f t="shared" si="3"/>
        <v>9259948.55</v>
      </c>
    </row>
    <row r="94" spans="2:6" s="53" customFormat="1" ht="9.75">
      <c r="B94" s="210" t="s">
        <v>162</v>
      </c>
      <c r="C94" s="359">
        <f>SUM(C95:C100)</f>
        <v>1438925</v>
      </c>
      <c r="D94" s="359">
        <f>SUM(D95:D100)</f>
        <v>0</v>
      </c>
      <c r="E94" s="359">
        <f>SUM(E95:E100)</f>
        <v>0</v>
      </c>
      <c r="F94" s="359">
        <f t="shared" si="3"/>
        <v>1438925</v>
      </c>
    </row>
    <row r="95" spans="2:6" s="62" customFormat="1" ht="9.75">
      <c r="B95" s="360" t="s">
        <v>157</v>
      </c>
      <c r="C95" s="207">
        <v>0</v>
      </c>
      <c r="D95" s="207">
        <v>0</v>
      </c>
      <c r="E95" s="199">
        <v>0</v>
      </c>
      <c r="F95" s="207">
        <f t="shared" si="3"/>
        <v>0</v>
      </c>
    </row>
    <row r="96" spans="2:6" s="62" customFormat="1" ht="9.75">
      <c r="B96" s="360" t="s">
        <v>158</v>
      </c>
      <c r="C96" s="207">
        <v>0</v>
      </c>
      <c r="D96" s="207">
        <v>0</v>
      </c>
      <c r="E96" s="199">
        <v>0</v>
      </c>
      <c r="F96" s="207">
        <f t="shared" si="3"/>
        <v>0</v>
      </c>
    </row>
    <row r="97" spans="2:6" s="62" customFormat="1" ht="9.75">
      <c r="B97" s="360" t="s">
        <v>307</v>
      </c>
      <c r="C97" s="207">
        <v>0</v>
      </c>
      <c r="D97" s="207">
        <v>0</v>
      </c>
      <c r="E97" s="199">
        <v>0</v>
      </c>
      <c r="F97" s="207">
        <f t="shared" si="3"/>
        <v>0</v>
      </c>
    </row>
    <row r="98" spans="2:6" s="62" customFormat="1" ht="9.75">
      <c r="B98" s="360" t="s">
        <v>158</v>
      </c>
      <c r="C98" s="207">
        <v>0</v>
      </c>
      <c r="D98" s="207">
        <v>0</v>
      </c>
      <c r="E98" s="199">
        <v>0</v>
      </c>
      <c r="F98" s="207">
        <f t="shared" si="3"/>
        <v>0</v>
      </c>
    </row>
    <row r="99" spans="2:6" s="62" customFormat="1" ht="9.75">
      <c r="B99" s="360" t="s">
        <v>160</v>
      </c>
      <c r="C99" s="207">
        <v>1438925</v>
      </c>
      <c r="D99" s="207">
        <v>0</v>
      </c>
      <c r="E99" s="199">
        <v>0</v>
      </c>
      <c r="F99" s="207">
        <f t="shared" si="3"/>
        <v>1438925</v>
      </c>
    </row>
    <row r="100" spans="2:6" s="62" customFormat="1" ht="9.75">
      <c r="B100" s="360" t="s">
        <v>161</v>
      </c>
      <c r="C100" s="207">
        <v>0</v>
      </c>
      <c r="D100" s="207">
        <v>0</v>
      </c>
      <c r="E100" s="199">
        <v>0</v>
      </c>
      <c r="F100" s="207">
        <f t="shared" si="3"/>
        <v>0</v>
      </c>
    </row>
    <row r="101" spans="2:6" s="53" customFormat="1" ht="9.75">
      <c r="B101" s="210" t="s">
        <v>163</v>
      </c>
      <c r="C101" s="359">
        <f>SUM(C102:C107)</f>
        <v>0</v>
      </c>
      <c r="D101" s="359">
        <f>SUM(D102:D107)</f>
        <v>0</v>
      </c>
      <c r="E101" s="359">
        <f>SUM(E102:E107)</f>
        <v>0</v>
      </c>
      <c r="F101" s="359">
        <f t="shared" si="3"/>
        <v>0</v>
      </c>
    </row>
    <row r="102" spans="2:6" s="62" customFormat="1" ht="9.75">
      <c r="B102" s="360" t="s">
        <v>157</v>
      </c>
      <c r="C102" s="207">
        <v>0</v>
      </c>
      <c r="D102" s="207">
        <v>0</v>
      </c>
      <c r="E102" s="199">
        <v>0</v>
      </c>
      <c r="F102" s="207">
        <f t="shared" si="3"/>
        <v>0</v>
      </c>
    </row>
    <row r="103" spans="2:6" s="62" customFormat="1" ht="9.75">
      <c r="B103" s="360" t="s">
        <v>258</v>
      </c>
      <c r="C103" s="207">
        <v>0</v>
      </c>
      <c r="D103" s="207">
        <v>0</v>
      </c>
      <c r="E103" s="199">
        <v>0</v>
      </c>
      <c r="F103" s="207">
        <f t="shared" si="3"/>
        <v>0</v>
      </c>
    </row>
    <row r="104" spans="2:6" s="62" customFormat="1" ht="9.75">
      <c r="B104" s="360" t="s">
        <v>159</v>
      </c>
      <c r="C104" s="207">
        <v>0</v>
      </c>
      <c r="D104" s="207">
        <v>0</v>
      </c>
      <c r="E104" s="199">
        <v>0</v>
      </c>
      <c r="F104" s="207">
        <f t="shared" si="3"/>
        <v>0</v>
      </c>
    </row>
    <row r="105" spans="2:6" s="62" customFormat="1" ht="9.75">
      <c r="B105" s="360" t="s">
        <v>158</v>
      </c>
      <c r="C105" s="207">
        <v>0</v>
      </c>
      <c r="D105" s="207">
        <v>0</v>
      </c>
      <c r="E105" s="199">
        <v>0</v>
      </c>
      <c r="F105" s="207">
        <f t="shared" si="3"/>
        <v>0</v>
      </c>
    </row>
    <row r="106" spans="2:6" s="62" customFormat="1" ht="9.75">
      <c r="B106" s="360" t="s">
        <v>160</v>
      </c>
      <c r="C106" s="207">
        <v>0</v>
      </c>
      <c r="D106" s="207">
        <v>0</v>
      </c>
      <c r="E106" s="199">
        <v>0</v>
      </c>
      <c r="F106" s="207">
        <f t="shared" si="3"/>
        <v>0</v>
      </c>
    </row>
    <row r="107" spans="2:6" s="62" customFormat="1" ht="9.75">
      <c r="B107" s="360" t="s">
        <v>161</v>
      </c>
      <c r="C107" s="207">
        <v>0</v>
      </c>
      <c r="D107" s="207">
        <v>0</v>
      </c>
      <c r="E107" s="199">
        <v>0</v>
      </c>
      <c r="F107" s="207">
        <f t="shared" si="3"/>
        <v>0</v>
      </c>
    </row>
    <row r="108" spans="2:6" s="71" customFormat="1" ht="9.75">
      <c r="B108" s="597">
        <f>'Dane podstawowe'!B14</f>
        <v>43100</v>
      </c>
      <c r="C108" s="162">
        <f>C93+C94-C101</f>
        <v>4341065</v>
      </c>
      <c r="D108" s="162">
        <f>D93+D94-D101</f>
        <v>5618879.55</v>
      </c>
      <c r="E108" s="162">
        <f>E93+E94-E101</f>
        <v>738929</v>
      </c>
      <c r="F108" s="162">
        <f t="shared" si="3"/>
        <v>10698873.55</v>
      </c>
    </row>
    <row r="109" spans="4:6" s="2" customFormat="1" ht="9.75">
      <c r="D109" s="384">
        <f>B92</f>
        <v>43465</v>
      </c>
      <c r="E109" s="381">
        <f>Pasywa!D7-'NOTA 17,18,19 - Kapitały'!E92</f>
        <v>10133004</v>
      </c>
      <c r="F109" s="381">
        <f>Pasywa!D7-('NOTA 17,18,19 - Kapitały'!F92-'NOTA 17,18,19 - Kapitały'!E92)</f>
        <v>738929.4499999993</v>
      </c>
    </row>
    <row r="110" spans="4:6" s="2" customFormat="1" ht="9.75">
      <c r="D110" s="384">
        <f>B108</f>
        <v>43100</v>
      </c>
      <c r="E110" s="381">
        <f>Pasywa!E7-'NOTA 17,18,19 - Kapitały'!E108</f>
        <v>9959945</v>
      </c>
      <c r="F110" s="381">
        <f>Pasywa!E7-('NOTA 17,18,19 - Kapitały'!F108-'NOTA 17,18,19 - Kapitały'!E108)</f>
        <v>738929.4499999993</v>
      </c>
    </row>
    <row r="111" spans="2:5" s="487" customFormat="1" ht="12.75">
      <c r="B111" s="468" t="s">
        <v>857</v>
      </c>
      <c r="C111" s="652"/>
      <c r="D111" s="652"/>
      <c r="E111" s="652"/>
    </row>
    <row r="112" spans="2:5" s="2" customFormat="1" ht="12.75">
      <c r="B112" s="154"/>
      <c r="C112" s="49"/>
      <c r="D112" s="49"/>
      <c r="E112" s="49"/>
    </row>
    <row r="113" spans="2:4" s="2" customFormat="1" ht="9.75">
      <c r="B113" s="133" t="s">
        <v>381</v>
      </c>
      <c r="C113" s="593">
        <f>'Dane podstawowe'!$B$9</f>
        <v>43465</v>
      </c>
      <c r="D113" s="593">
        <f>'Dane podstawowe'!$B$14</f>
        <v>43100</v>
      </c>
    </row>
    <row r="114" spans="2:4" s="71" customFormat="1" ht="9.75">
      <c r="B114" s="130" t="s">
        <v>141</v>
      </c>
      <c r="C114" s="199">
        <v>-1069</v>
      </c>
      <c r="D114" s="199">
        <v>12705</v>
      </c>
    </row>
    <row r="115" spans="2:4" s="2" customFormat="1" ht="9.75" hidden="1">
      <c r="B115" s="215"/>
      <c r="C115" s="199"/>
      <c r="D115" s="199"/>
    </row>
    <row r="116" spans="2:4" s="2" customFormat="1" ht="9.75" hidden="1">
      <c r="B116" s="215"/>
      <c r="C116" s="199"/>
      <c r="D116" s="199"/>
    </row>
    <row r="117" spans="2:4" s="2" customFormat="1" ht="9.75">
      <c r="B117" s="77" t="s">
        <v>389</v>
      </c>
      <c r="C117" s="123">
        <f>SUM(C114:C116)</f>
        <v>-1069</v>
      </c>
      <c r="D117" s="123">
        <f>SUM(D114:D116)</f>
        <v>12705</v>
      </c>
    </row>
    <row r="118" s="2" customFormat="1" ht="9.75"/>
    <row r="119" s="2" customFormat="1" ht="9.75"/>
    <row r="120" s="2" customFormat="1" ht="9.75"/>
  </sheetData>
  <sheetProtection/>
  <mergeCells count="2">
    <mergeCell ref="C3:E3"/>
    <mergeCell ref="C111:E111"/>
  </mergeCell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3" min="1" max="8" man="1"/>
  </rowBreaks>
  <ignoredErrors>
    <ignoredError sqref="D21:D23 F21:F23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showGridLines="0" view="pageBreakPreview" zoomScale="90" zoomScaleSheetLayoutView="90" zoomScalePageLayoutView="0" workbookViewId="0" topLeftCell="A1">
      <selection activeCell="A44" sqref="A44"/>
    </sheetView>
  </sheetViews>
  <sheetFormatPr defaultColWidth="9.28125" defaultRowHeight="12.75"/>
  <cols>
    <col min="1" max="1" width="53.7109375" style="52" customWidth="1"/>
    <col min="2" max="2" width="11.28125" style="52" customWidth="1"/>
    <col min="3" max="5" width="10.28125" style="52" customWidth="1"/>
    <col min="6" max="16384" width="9.28125" style="52" customWidth="1"/>
  </cols>
  <sheetData>
    <row r="1" ht="12.75">
      <c r="A1" s="74"/>
    </row>
    <row r="2" s="469" customFormat="1" ht="12.75">
      <c r="A2" s="468" t="s">
        <v>859</v>
      </c>
    </row>
    <row r="3" spans="1:10" s="2" customFormat="1" ht="9.75">
      <c r="A3" s="142"/>
      <c r="B3" s="142"/>
      <c r="C3" s="142"/>
      <c r="D3" s="142"/>
      <c r="E3" s="142"/>
      <c r="F3" s="142"/>
      <c r="G3" s="142"/>
      <c r="H3" s="181"/>
      <c r="I3" s="181"/>
      <c r="J3" s="181"/>
    </row>
    <row r="4" spans="1:5" s="5" customFormat="1" ht="9.75">
      <c r="A4" s="159" t="s">
        <v>381</v>
      </c>
      <c r="B4" s="593">
        <f>'Dane podstawowe'!$B$9</f>
        <v>43465</v>
      </c>
      <c r="C4" s="593">
        <f>'Dane podstawowe'!$B$14</f>
        <v>43100</v>
      </c>
      <c r="D4" s="2"/>
      <c r="E4" s="2"/>
    </row>
    <row r="5" spans="1:3" s="2" customFormat="1" ht="9.75">
      <c r="A5" s="130" t="s">
        <v>166</v>
      </c>
      <c r="B5" s="207">
        <v>1375652</v>
      </c>
      <c r="C5" s="207">
        <v>0</v>
      </c>
    </row>
    <row r="6" spans="1:3" s="2" customFormat="1" ht="9.75">
      <c r="A6" s="130" t="s">
        <v>167</v>
      </c>
      <c r="B6" s="207">
        <v>0</v>
      </c>
      <c r="C6" s="207">
        <v>0</v>
      </c>
    </row>
    <row r="7" spans="1:3" s="2" customFormat="1" ht="9.75">
      <c r="A7" s="130" t="s">
        <v>532</v>
      </c>
      <c r="B7" s="207">
        <v>0</v>
      </c>
      <c r="C7" s="207">
        <v>501630</v>
      </c>
    </row>
    <row r="8" spans="1:3" s="62" customFormat="1" ht="9.75">
      <c r="A8" s="558" t="s">
        <v>49</v>
      </c>
      <c r="B8" s="207">
        <v>0</v>
      </c>
      <c r="C8" s="207">
        <v>0</v>
      </c>
    </row>
    <row r="9" spans="1:3" s="62" customFormat="1" ht="9.75">
      <c r="A9" s="558" t="s">
        <v>638</v>
      </c>
      <c r="B9" s="207">
        <v>5338</v>
      </c>
      <c r="C9" s="207">
        <v>0</v>
      </c>
    </row>
    <row r="10" spans="1:3" s="62" customFormat="1" ht="9.75" hidden="1">
      <c r="A10" s="558" t="s">
        <v>151</v>
      </c>
      <c r="B10" s="207"/>
      <c r="C10" s="207"/>
    </row>
    <row r="11" spans="1:3" s="62" customFormat="1" ht="9.75" hidden="1">
      <c r="A11" s="558" t="s">
        <v>151</v>
      </c>
      <c r="B11" s="207"/>
      <c r="C11" s="207"/>
    </row>
    <row r="12" spans="1:3" s="2" customFormat="1" ht="9.75">
      <c r="A12" s="77" t="s">
        <v>142</v>
      </c>
      <c r="B12" s="162">
        <f>SUM(B13:B14)</f>
        <v>1380990</v>
      </c>
      <c r="C12" s="162">
        <f>SUM(C13:C14)</f>
        <v>501630</v>
      </c>
    </row>
    <row r="13" spans="1:3" s="2" customFormat="1" ht="9.75">
      <c r="A13" s="361" t="s">
        <v>533</v>
      </c>
      <c r="B13" s="207">
        <v>0</v>
      </c>
      <c r="C13" s="207">
        <v>0</v>
      </c>
    </row>
    <row r="14" spans="1:3" s="2" customFormat="1" ht="9.75">
      <c r="A14" s="361" t="s">
        <v>534</v>
      </c>
      <c r="B14" s="207">
        <v>1380990</v>
      </c>
      <c r="C14" s="207">
        <v>501630</v>
      </c>
    </row>
    <row r="15" spans="2:3" s="2" customFormat="1" ht="9.75">
      <c r="B15" s="385">
        <f>Pasywa!D11+Pasywa!D19-'NOTA 20 - Kredyty i pożyczki'!B12</f>
        <v>0</v>
      </c>
      <c r="C15" s="385">
        <f>Pasywa!E11+Pasywa!E19-'NOTA 20 - Kredyty i pożyczki'!C12</f>
        <v>0</v>
      </c>
    </row>
    <row r="16" s="2" customFormat="1" ht="9.75"/>
    <row r="17" s="2" customFormat="1" ht="9.75">
      <c r="A17" s="71" t="s">
        <v>143</v>
      </c>
    </row>
    <row r="18" s="2" customFormat="1" ht="9.75"/>
    <row r="19" spans="1:3" s="2" customFormat="1" ht="9.75">
      <c r="A19" s="159" t="s">
        <v>381</v>
      </c>
      <c r="B19" s="593">
        <f>'Dane podstawowe'!$B$9</f>
        <v>43465</v>
      </c>
      <c r="C19" s="593">
        <f>'Dane podstawowe'!$B$14</f>
        <v>43100</v>
      </c>
    </row>
    <row r="20" spans="1:3" s="2" customFormat="1" ht="9.75">
      <c r="A20" s="191" t="s">
        <v>536</v>
      </c>
      <c r="B20" s="207">
        <v>1380990</v>
      </c>
      <c r="C20" s="207">
        <v>501630</v>
      </c>
    </row>
    <row r="21" spans="1:3" s="2" customFormat="1" ht="9.75">
      <c r="A21" s="191" t="s">
        <v>537</v>
      </c>
      <c r="B21" s="207">
        <f>SUM(B22:B24)</f>
        <v>0</v>
      </c>
      <c r="C21" s="207">
        <f>SUM(C22:C24)</f>
        <v>0</v>
      </c>
    </row>
    <row r="22" spans="1:3" s="2" customFormat="1" ht="9.75">
      <c r="A22" s="362" t="s">
        <v>540</v>
      </c>
      <c r="B22" s="207">
        <v>0</v>
      </c>
      <c r="C22" s="207">
        <v>0</v>
      </c>
    </row>
    <row r="23" spans="1:3" s="2" customFormat="1" ht="9.75">
      <c r="A23" s="362" t="s">
        <v>541</v>
      </c>
      <c r="B23" s="207">
        <v>0</v>
      </c>
      <c r="C23" s="207">
        <v>0</v>
      </c>
    </row>
    <row r="24" spans="1:3" s="2" customFormat="1" ht="9.75">
      <c r="A24" s="362" t="s">
        <v>538</v>
      </c>
      <c r="B24" s="207">
        <v>0</v>
      </c>
      <c r="C24" s="207">
        <v>0</v>
      </c>
    </row>
    <row r="25" spans="1:3" s="2" customFormat="1" ht="9.75">
      <c r="A25" s="15" t="s">
        <v>539</v>
      </c>
      <c r="B25" s="162">
        <f>SUM(B20:B21)</f>
        <v>1380990</v>
      </c>
      <c r="C25" s="162">
        <f>SUM(C20:C21)</f>
        <v>501630</v>
      </c>
    </row>
    <row r="26" spans="1:3" s="2" customFormat="1" ht="9.75">
      <c r="A26" s="190"/>
      <c r="B26" s="385">
        <f>B12-B25</f>
        <v>0</v>
      </c>
      <c r="C26" s="385">
        <f>C12-C25</f>
        <v>0</v>
      </c>
    </row>
    <row r="27" s="2" customFormat="1" ht="9.75"/>
    <row r="28" spans="2:3" s="2" customFormat="1" ht="9.75">
      <c r="B28" s="386"/>
      <c r="C28" s="386"/>
    </row>
    <row r="29" s="2" customFormat="1" ht="9.75">
      <c r="A29" s="71" t="s">
        <v>544</v>
      </c>
    </row>
    <row r="30" s="2" customFormat="1" ht="9.75"/>
    <row r="31" spans="1:5" s="2" customFormat="1" ht="9.75">
      <c r="A31" s="632" t="s">
        <v>381</v>
      </c>
      <c r="B31" s="653">
        <f>'Dane podstawowe'!$B$9</f>
        <v>43465</v>
      </c>
      <c r="C31" s="653"/>
      <c r="D31" s="653">
        <f>'Dane podstawowe'!$B$14</f>
        <v>43100</v>
      </c>
      <c r="E31" s="653"/>
    </row>
    <row r="32" spans="1:5" s="2" customFormat="1" ht="20.25">
      <c r="A32" s="632"/>
      <c r="B32" s="95" t="s">
        <v>542</v>
      </c>
      <c r="C32" s="95" t="s">
        <v>543</v>
      </c>
      <c r="D32" s="95" t="s">
        <v>542</v>
      </c>
      <c r="E32" s="95" t="s">
        <v>543</v>
      </c>
    </row>
    <row r="33" spans="1:5" s="2" customFormat="1" ht="9.75">
      <c r="A33" s="191" t="s">
        <v>426</v>
      </c>
      <c r="B33" s="199">
        <v>0</v>
      </c>
      <c r="C33" s="199">
        <v>1380990</v>
      </c>
      <c r="D33" s="207">
        <v>0</v>
      </c>
      <c r="E33" s="207">
        <v>501630</v>
      </c>
    </row>
    <row r="34" spans="1:5" s="2" customFormat="1" ht="9.75">
      <c r="A34" s="191" t="s">
        <v>427</v>
      </c>
      <c r="B34" s="207">
        <v>0</v>
      </c>
      <c r="C34" s="207">
        <v>0</v>
      </c>
      <c r="D34" s="207">
        <v>0</v>
      </c>
      <c r="E34" s="207">
        <v>0</v>
      </c>
    </row>
    <row r="35" spans="1:5" s="2" customFormat="1" ht="9.75">
      <c r="A35" s="191" t="s">
        <v>428</v>
      </c>
      <c r="B35" s="207">
        <v>0</v>
      </c>
      <c r="C35" s="207">
        <v>0</v>
      </c>
      <c r="D35" s="207">
        <v>0</v>
      </c>
      <c r="E35" s="207">
        <v>0</v>
      </c>
    </row>
    <row r="36" spans="1:5" s="2" customFormat="1" ht="9.75">
      <c r="A36" s="191" t="s">
        <v>429</v>
      </c>
      <c r="B36" s="207">
        <v>0</v>
      </c>
      <c r="C36" s="207">
        <v>0</v>
      </c>
      <c r="D36" s="207">
        <v>0</v>
      </c>
      <c r="E36" s="207">
        <v>0</v>
      </c>
    </row>
    <row r="37" spans="1:5" s="2" customFormat="1" ht="9.75">
      <c r="A37" s="191" t="s">
        <v>430</v>
      </c>
      <c r="B37" s="207">
        <v>0</v>
      </c>
      <c r="C37" s="207">
        <v>0</v>
      </c>
      <c r="D37" s="207">
        <v>0</v>
      </c>
      <c r="E37" s="207">
        <v>0</v>
      </c>
    </row>
    <row r="38" spans="1:5" s="2" customFormat="1" ht="9.75">
      <c r="A38" s="15" t="s">
        <v>539</v>
      </c>
      <c r="B38" s="363" t="s">
        <v>535</v>
      </c>
      <c r="C38" s="162">
        <f>SUM(C33:C37)</f>
        <v>1380990</v>
      </c>
      <c r="D38" s="363" t="s">
        <v>535</v>
      </c>
      <c r="E38" s="162">
        <f>SUM(E33:E37)</f>
        <v>501630</v>
      </c>
    </row>
    <row r="39" spans="3:5" s="2" customFormat="1" ht="9.75">
      <c r="C39" s="381">
        <f>B12-C38</f>
        <v>0</v>
      </c>
      <c r="E39" s="381">
        <f>C12-E38</f>
        <v>0</v>
      </c>
    </row>
    <row r="40" s="2" customFormat="1" ht="9.75"/>
    <row r="41" s="2" customFormat="1" ht="9.75"/>
    <row r="42" s="2" customFormat="1" ht="9.75"/>
  </sheetData>
  <sheetProtection/>
  <mergeCells count="3">
    <mergeCell ref="A31:A32"/>
    <mergeCell ref="B31:C31"/>
    <mergeCell ref="D31:E31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4"/>
  <sheetViews>
    <sheetView showGridLines="0" view="pageBreakPreview" zoomScale="90" zoomScaleSheetLayoutView="90" zoomScalePageLayoutView="0" workbookViewId="0" topLeftCell="A6">
      <selection activeCell="A26" sqref="A26:IV61"/>
    </sheetView>
  </sheetViews>
  <sheetFormatPr defaultColWidth="9.140625" defaultRowHeight="12.75"/>
  <cols>
    <col min="1" max="1" width="60.421875" style="0" bestFit="1" customWidth="1"/>
    <col min="2" max="7" width="15.57421875" style="0" customWidth="1"/>
  </cols>
  <sheetData>
    <row r="1" s="168" customFormat="1" ht="9.75"/>
    <row r="2" spans="1:6" s="168" customFormat="1" ht="12.75">
      <c r="A2" s="464" t="s">
        <v>860</v>
      </c>
      <c r="D2" s="314"/>
      <c r="E2" s="314"/>
      <c r="F2" s="314"/>
    </row>
    <row r="3" spans="1:6" s="168" customFormat="1" ht="9.75">
      <c r="A3" s="165"/>
      <c r="D3" s="314"/>
      <c r="E3" s="314"/>
      <c r="F3" s="314"/>
    </row>
    <row r="4" spans="1:3" s="168" customFormat="1" ht="9.75">
      <c r="A4" s="169"/>
      <c r="B4" s="593">
        <f>'Dane podstawowe'!$B$9</f>
        <v>43465</v>
      </c>
      <c r="C4" s="593">
        <f>'Dane podstawowe'!$B$14</f>
        <v>43100</v>
      </c>
    </row>
    <row r="5" spans="1:3" s="168" customFormat="1" ht="9.75">
      <c r="A5" s="153" t="s">
        <v>50</v>
      </c>
      <c r="B5" s="356">
        <v>202746</v>
      </c>
      <c r="C5" s="356">
        <v>2453</v>
      </c>
    </row>
    <row r="6" spans="1:3" s="168" customFormat="1" ht="9.75">
      <c r="A6" s="153" t="s">
        <v>465</v>
      </c>
      <c r="B6" s="172">
        <v>0</v>
      </c>
      <c r="C6" s="172">
        <v>0</v>
      </c>
    </row>
    <row r="7" spans="1:3" s="168" customFormat="1" ht="9.75">
      <c r="A7" s="153" t="s">
        <v>51</v>
      </c>
      <c r="B7" s="172">
        <v>0</v>
      </c>
      <c r="C7" s="172">
        <v>0</v>
      </c>
    </row>
    <row r="8" spans="1:3" s="168" customFormat="1" ht="9.75">
      <c r="A8" s="153" t="s">
        <v>38</v>
      </c>
      <c r="B8" s="172">
        <v>0</v>
      </c>
      <c r="C8" s="172">
        <v>0</v>
      </c>
    </row>
    <row r="9" spans="1:3" s="168" customFormat="1" ht="9.75">
      <c r="A9" s="153" t="s">
        <v>39</v>
      </c>
      <c r="B9" s="172">
        <v>0</v>
      </c>
      <c r="C9" s="172">
        <v>0</v>
      </c>
    </row>
    <row r="10" spans="1:3" s="168" customFormat="1" ht="9.75">
      <c r="A10" s="153" t="s">
        <v>40</v>
      </c>
      <c r="B10" s="172">
        <v>0</v>
      </c>
      <c r="C10" s="172">
        <v>0</v>
      </c>
    </row>
    <row r="11" spans="1:3" s="168" customFormat="1" ht="9.75">
      <c r="A11" s="174" t="s">
        <v>52</v>
      </c>
      <c r="B11" s="175">
        <f>SUM(B5:B10)</f>
        <v>202746</v>
      </c>
      <c r="C11" s="175">
        <f>SUM(C5:C10)</f>
        <v>2453</v>
      </c>
    </row>
    <row r="12" spans="1:3" s="168" customFormat="1" ht="9.75">
      <c r="A12" s="170" t="s">
        <v>53</v>
      </c>
      <c r="B12" s="172">
        <v>126053</v>
      </c>
      <c r="C12" s="172">
        <v>0</v>
      </c>
    </row>
    <row r="13" spans="1:3" s="168" customFormat="1" ht="9.75">
      <c r="A13" s="170" t="s">
        <v>54</v>
      </c>
      <c r="B13" s="172">
        <v>76693</v>
      </c>
      <c r="C13" s="172">
        <v>2453</v>
      </c>
    </row>
    <row r="14" spans="1:3" s="168" customFormat="1" ht="9.75">
      <c r="A14" s="167"/>
      <c r="B14" s="383">
        <f>(Pasywa!D12+Pasywa!D20)-'NOTA 21 Zobowiązania finansowe'!B11</f>
        <v>0</v>
      </c>
      <c r="C14" s="383">
        <f>(Pasywa!E12+Pasywa!E20)-'NOTA 21 Zobowiązania finansowe'!C11</f>
        <v>0</v>
      </c>
    </row>
    <row r="15" spans="2:6" s="168" customFormat="1" ht="9.75">
      <c r="B15" s="461"/>
      <c r="C15" s="451"/>
      <c r="F15" s="462"/>
    </row>
    <row r="16" spans="1:6" s="168" customFormat="1" ht="9.75">
      <c r="A16" s="463" t="s">
        <v>574</v>
      </c>
      <c r="B16" s="461"/>
      <c r="C16" s="451"/>
      <c r="F16" s="462"/>
    </row>
    <row r="17" spans="1:6" s="168" customFormat="1" ht="9.75">
      <c r="A17" s="463"/>
      <c r="B17" s="461"/>
      <c r="C17" s="451"/>
      <c r="F17" s="462"/>
    </row>
    <row r="18" spans="1:3" s="168" customFormat="1" ht="9.75">
      <c r="A18" s="169" t="s">
        <v>381</v>
      </c>
      <c r="B18" s="593">
        <f>'Dane podstawowe'!$B$9</f>
        <v>43465</v>
      </c>
      <c r="C18" s="593">
        <f>'Dane podstawowe'!$B$14</f>
        <v>43100</v>
      </c>
    </row>
    <row r="19" spans="1:3" s="168" customFormat="1" ht="9.75">
      <c r="A19" s="153" t="s">
        <v>569</v>
      </c>
      <c r="B19" s="172">
        <v>76693</v>
      </c>
      <c r="C19" s="172">
        <v>2453</v>
      </c>
    </row>
    <row r="20" spans="1:3" s="168" customFormat="1" ht="9.75">
      <c r="A20" s="153" t="s">
        <v>570</v>
      </c>
      <c r="B20" s="172">
        <v>126053</v>
      </c>
      <c r="C20" s="172">
        <v>0</v>
      </c>
    </row>
    <row r="21" spans="1:3" s="168" customFormat="1" ht="9.75">
      <c r="A21" s="153" t="s">
        <v>571</v>
      </c>
      <c r="B21" s="172">
        <v>126053</v>
      </c>
      <c r="C21" s="172">
        <v>0</v>
      </c>
    </row>
    <row r="22" spans="1:3" s="168" customFormat="1" ht="9.75">
      <c r="A22" s="153" t="s">
        <v>572</v>
      </c>
      <c r="B22" s="172">
        <v>0</v>
      </c>
      <c r="C22" s="172">
        <v>0</v>
      </c>
    </row>
    <row r="23" spans="1:3" s="168" customFormat="1" ht="9.75">
      <c r="A23" s="435" t="s">
        <v>573</v>
      </c>
      <c r="B23" s="493">
        <f>B20+B19</f>
        <v>202746</v>
      </c>
      <c r="C23" s="493">
        <f>C20+C19</f>
        <v>2453</v>
      </c>
    </row>
    <row r="24" spans="2:3" s="168" customFormat="1" ht="9.75">
      <c r="B24" s="383">
        <f>B5-B23</f>
        <v>0</v>
      </c>
      <c r="C24" s="383">
        <f>C5-C23</f>
        <v>0</v>
      </c>
    </row>
    <row r="25" s="168" customFormat="1" ht="9.75"/>
    <row r="26" s="168" customFormat="1" ht="9.75"/>
  </sheetData>
  <sheetProtection/>
  <printOptions/>
  <pageMargins left="0.7" right="0.7" top="0.75" bottom="0.75" header="0.3" footer="0.3"/>
  <pageSetup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8"/>
  <sheetViews>
    <sheetView showGridLines="0" view="pageBreakPreview" zoomScaleSheetLayoutView="100" zoomScalePageLayoutView="0" workbookViewId="0" topLeftCell="A4">
      <selection activeCell="G27" sqref="G27"/>
    </sheetView>
  </sheetViews>
  <sheetFormatPr defaultColWidth="9.28125" defaultRowHeight="12.75"/>
  <cols>
    <col min="1" max="1" width="36.57421875" style="52" customWidth="1"/>
    <col min="2" max="8" width="10.421875" style="52" customWidth="1"/>
    <col min="9" max="16384" width="9.28125" style="52" customWidth="1"/>
  </cols>
  <sheetData>
    <row r="1" ht="12.75">
      <c r="A1" s="74"/>
    </row>
    <row r="2" s="2" customFormat="1" ht="12.75">
      <c r="A2" s="468" t="s">
        <v>861</v>
      </c>
    </row>
    <row r="3" s="2" customFormat="1" ht="9.75">
      <c r="A3" s="53"/>
    </row>
    <row r="4" s="2" customFormat="1" ht="9.75">
      <c r="A4" s="71" t="s">
        <v>230</v>
      </c>
    </row>
    <row r="5" s="2" customFormat="1" ht="9.75">
      <c r="A5" s="71"/>
    </row>
    <row r="6" spans="1:3" s="2" customFormat="1" ht="9.75">
      <c r="A6" s="133" t="s">
        <v>837</v>
      </c>
      <c r="B6" s="593">
        <f>'Dane podstawowe'!$B$9</f>
        <v>43465</v>
      </c>
      <c r="C6" s="593">
        <f>'Dane podstawowe'!$B$14</f>
        <v>43100</v>
      </c>
    </row>
    <row r="7" spans="1:3" s="2" customFormat="1" ht="9.75">
      <c r="A7" s="191" t="s">
        <v>230</v>
      </c>
      <c r="B7" s="123">
        <f>SUM(B8:B9)</f>
        <v>537010</v>
      </c>
      <c r="C7" s="123">
        <f>SUM(C8:C9)</f>
        <v>918176</v>
      </c>
    </row>
    <row r="8" spans="1:3" s="2" customFormat="1" ht="9.75">
      <c r="A8" s="222" t="s">
        <v>350</v>
      </c>
      <c r="B8" s="199">
        <v>216862</v>
      </c>
      <c r="C8" s="199">
        <v>448244</v>
      </c>
    </row>
    <row r="9" spans="1:3" s="2" customFormat="1" ht="9.75">
      <c r="A9" s="222" t="s">
        <v>351</v>
      </c>
      <c r="B9" s="199">
        <v>320148</v>
      </c>
      <c r="C9" s="199">
        <v>469932</v>
      </c>
    </row>
    <row r="10" spans="1:3" s="2" customFormat="1" ht="9.75">
      <c r="A10" s="219"/>
      <c r="B10" s="381">
        <f>Pasywa!D21-'NOTA 22,23 - Zob. hand. i pozos'!B7</f>
        <v>0</v>
      </c>
      <c r="C10" s="381">
        <f>Pasywa!E21-'NOTA 22,23 - Zob. hand. i pozos'!C7</f>
        <v>0</v>
      </c>
    </row>
    <row r="11" spans="1:3" s="2" customFormat="1" ht="9.75">
      <c r="A11" s="221"/>
      <c r="B11" s="220"/>
      <c r="C11" s="220"/>
    </row>
    <row r="12" spans="1:7" s="2" customFormat="1" ht="9.75">
      <c r="A12" s="655" t="s">
        <v>144</v>
      </c>
      <c r="B12" s="655"/>
      <c r="C12" s="655"/>
      <c r="D12" s="655"/>
      <c r="E12" s="655"/>
      <c r="F12" s="655"/>
      <c r="G12" s="655"/>
    </row>
    <row r="13" s="2" customFormat="1" ht="9.75">
      <c r="A13" s="146"/>
    </row>
    <row r="14" spans="1:8" s="60" customFormat="1" ht="9.75">
      <c r="A14" s="657" t="s">
        <v>381</v>
      </c>
      <c r="B14" s="654" t="s">
        <v>389</v>
      </c>
      <c r="C14" s="632" t="s">
        <v>68</v>
      </c>
      <c r="D14" s="654" t="s">
        <v>69</v>
      </c>
      <c r="E14" s="654"/>
      <c r="F14" s="654"/>
      <c r="G14" s="654"/>
      <c r="H14" s="654"/>
    </row>
    <row r="15" spans="1:8" s="60" customFormat="1" ht="27.75" customHeight="1">
      <c r="A15" s="657"/>
      <c r="B15" s="654"/>
      <c r="C15" s="632"/>
      <c r="D15" s="95" t="s">
        <v>145</v>
      </c>
      <c r="E15" s="95" t="s">
        <v>70</v>
      </c>
      <c r="F15" s="95" t="s">
        <v>146</v>
      </c>
      <c r="G15" s="95" t="s">
        <v>147</v>
      </c>
      <c r="H15" s="95" t="s">
        <v>148</v>
      </c>
    </row>
    <row r="16" spans="1:9" s="62" customFormat="1" ht="9.75">
      <c r="A16" s="598">
        <f>'Dane podstawowe'!$B$9</f>
        <v>43465</v>
      </c>
      <c r="B16" s="160">
        <f aca="true" t="shared" si="0" ref="B16:B21">SUM(C16:H16)</f>
        <v>537010</v>
      </c>
      <c r="C16" s="391">
        <f aca="true" t="shared" si="1" ref="C16:H16">C17+C18</f>
        <v>391615</v>
      </c>
      <c r="D16" s="391">
        <f t="shared" si="1"/>
        <v>97667</v>
      </c>
      <c r="E16" s="391">
        <f t="shared" si="1"/>
        <v>3382</v>
      </c>
      <c r="F16" s="391">
        <f t="shared" si="1"/>
        <v>671</v>
      </c>
      <c r="G16" s="391">
        <f t="shared" si="1"/>
        <v>554</v>
      </c>
      <c r="H16" s="391">
        <f t="shared" si="1"/>
        <v>43121</v>
      </c>
      <c r="I16" s="381">
        <f>B16-B7</f>
        <v>0</v>
      </c>
    </row>
    <row r="17" spans="1:8" s="62" customFormat="1" ht="9.75">
      <c r="A17" s="191" t="s">
        <v>350</v>
      </c>
      <c r="B17" s="391">
        <f t="shared" si="0"/>
        <v>216862</v>
      </c>
      <c r="C17" s="391">
        <v>136059</v>
      </c>
      <c r="D17" s="391">
        <v>77421</v>
      </c>
      <c r="E17" s="391">
        <v>3382</v>
      </c>
      <c r="F17" s="391">
        <v>0</v>
      </c>
      <c r="G17" s="391">
        <v>0</v>
      </c>
      <c r="H17" s="391">
        <v>0</v>
      </c>
    </row>
    <row r="18" spans="1:8" s="62" customFormat="1" ht="9.75">
      <c r="A18" s="191" t="s">
        <v>351</v>
      </c>
      <c r="B18" s="391">
        <f t="shared" si="0"/>
        <v>320148</v>
      </c>
      <c r="C18" s="391">
        <v>255556</v>
      </c>
      <c r="D18" s="391">
        <v>20246</v>
      </c>
      <c r="E18" s="391">
        <v>0</v>
      </c>
      <c r="F18" s="391">
        <v>671</v>
      </c>
      <c r="G18" s="391">
        <v>554</v>
      </c>
      <c r="H18" s="391">
        <v>43121</v>
      </c>
    </row>
    <row r="19" spans="1:9" s="62" customFormat="1" ht="9.75">
      <c r="A19" s="598">
        <f>'Dane podstawowe'!$B$14</f>
        <v>43100</v>
      </c>
      <c r="B19" s="160">
        <f t="shared" si="0"/>
        <v>918176</v>
      </c>
      <c r="C19" s="391">
        <f aca="true" t="shared" si="2" ref="C19:H19">C20+C21</f>
        <v>344992</v>
      </c>
      <c r="D19" s="391">
        <f t="shared" si="2"/>
        <v>424887</v>
      </c>
      <c r="E19" s="391">
        <f t="shared" si="2"/>
        <v>62390</v>
      </c>
      <c r="F19" s="391">
        <f t="shared" si="2"/>
        <v>42066</v>
      </c>
      <c r="G19" s="391">
        <f t="shared" si="2"/>
        <v>11868</v>
      </c>
      <c r="H19" s="391">
        <f t="shared" si="2"/>
        <v>31973</v>
      </c>
      <c r="I19" s="381">
        <f>B19-C7</f>
        <v>0</v>
      </c>
    </row>
    <row r="20" spans="1:8" s="62" customFormat="1" ht="9.75">
      <c r="A20" s="191" t="s">
        <v>350</v>
      </c>
      <c r="B20" s="391">
        <f t="shared" si="0"/>
        <v>448244</v>
      </c>
      <c r="C20" s="391">
        <v>72185</v>
      </c>
      <c r="D20" s="391">
        <v>271603</v>
      </c>
      <c r="E20" s="391">
        <v>62390</v>
      </c>
      <c r="F20" s="391">
        <v>42066</v>
      </c>
      <c r="G20" s="391">
        <v>0</v>
      </c>
      <c r="H20" s="391">
        <v>0</v>
      </c>
    </row>
    <row r="21" spans="1:8" s="62" customFormat="1" ht="9.75">
      <c r="A21" s="191" t="s">
        <v>351</v>
      </c>
      <c r="B21" s="391">
        <f t="shared" si="0"/>
        <v>469932</v>
      </c>
      <c r="C21" s="391">
        <v>272807</v>
      </c>
      <c r="D21" s="391">
        <v>153284</v>
      </c>
      <c r="E21" s="391">
        <v>0</v>
      </c>
      <c r="F21" s="391">
        <v>0</v>
      </c>
      <c r="G21" s="391">
        <v>11868</v>
      </c>
      <c r="H21" s="391">
        <v>31973</v>
      </c>
    </row>
    <row r="22" spans="1:3" s="62" customFormat="1" ht="9.75">
      <c r="A22" s="219"/>
      <c r="B22" s="220"/>
      <c r="C22" s="220"/>
    </row>
    <row r="23" spans="1:3" s="2" customFormat="1" ht="9.75">
      <c r="A23" s="219"/>
      <c r="B23" s="220"/>
      <c r="C23" s="220"/>
    </row>
    <row r="24" s="469" customFormat="1" ht="12.75">
      <c r="A24" s="468" t="s">
        <v>862</v>
      </c>
    </row>
    <row r="25" s="62" customFormat="1" ht="9.75">
      <c r="A25" s="53"/>
    </row>
    <row r="26" spans="1:3" s="62" customFormat="1" ht="9.75">
      <c r="A26" s="219" t="s">
        <v>553</v>
      </c>
      <c r="B26" s="220"/>
      <c r="C26" s="220"/>
    </row>
    <row r="27" spans="1:3" s="2" customFormat="1" ht="9.75">
      <c r="A27" s="219"/>
      <c r="B27" s="220"/>
      <c r="C27" s="220"/>
    </row>
    <row r="28" spans="1:3" s="2" customFormat="1" ht="9.75">
      <c r="A28" s="133" t="s">
        <v>381</v>
      </c>
      <c r="B28" s="593">
        <f>'Dane podstawowe'!B9</f>
        <v>43465</v>
      </c>
      <c r="C28" s="593">
        <f>'Dane podstawowe'!B14</f>
        <v>43100</v>
      </c>
    </row>
    <row r="29" spans="1:3" s="2" customFormat="1" ht="30">
      <c r="A29" s="191" t="s">
        <v>369</v>
      </c>
      <c r="B29" s="160">
        <f>SUM(B30:B37)</f>
        <v>396312</v>
      </c>
      <c r="C29" s="160">
        <f>SUM(C30:C37)</f>
        <v>450054</v>
      </c>
    </row>
    <row r="30" spans="1:7" s="2" customFormat="1" ht="9.75">
      <c r="A30" s="222" t="s">
        <v>352</v>
      </c>
      <c r="B30" s="199">
        <v>109414</v>
      </c>
      <c r="C30" s="199">
        <v>93647</v>
      </c>
      <c r="G30" s="62"/>
    </row>
    <row r="31" spans="1:3" s="2" customFormat="1" ht="9.75">
      <c r="A31" s="222" t="s">
        <v>353</v>
      </c>
      <c r="B31" s="199">
        <v>707</v>
      </c>
      <c r="C31" s="199">
        <v>297</v>
      </c>
    </row>
    <row r="32" spans="1:3" s="2" customFormat="1" ht="9.75">
      <c r="A32" s="222" t="s">
        <v>354</v>
      </c>
      <c r="B32" s="199">
        <v>92296</v>
      </c>
      <c r="C32" s="199">
        <v>92720</v>
      </c>
    </row>
    <row r="33" spans="1:3" s="2" customFormat="1" ht="9.75">
      <c r="A33" s="222" t="s">
        <v>556</v>
      </c>
      <c r="B33" s="199">
        <v>189042</v>
      </c>
      <c r="C33" s="199">
        <v>257412</v>
      </c>
    </row>
    <row r="34" spans="1:3" s="2" customFormat="1" ht="9.75">
      <c r="A34" s="222" t="s">
        <v>684</v>
      </c>
      <c r="B34" s="199">
        <v>4853</v>
      </c>
      <c r="C34" s="199">
        <v>5978</v>
      </c>
    </row>
    <row r="35" spans="1:3" s="2" customFormat="1" ht="9.75">
      <c r="A35" s="222" t="s">
        <v>558</v>
      </c>
      <c r="B35" s="199">
        <v>0</v>
      </c>
      <c r="C35" s="199">
        <v>0</v>
      </c>
    </row>
    <row r="36" spans="1:3" s="2" customFormat="1" ht="9.75">
      <c r="A36" s="222" t="s">
        <v>557</v>
      </c>
      <c r="B36" s="199">
        <v>0</v>
      </c>
      <c r="C36" s="199">
        <v>0</v>
      </c>
    </row>
    <row r="37" spans="1:3" s="2" customFormat="1" ht="9.75">
      <c r="A37" s="222" t="s">
        <v>67</v>
      </c>
      <c r="B37" s="199">
        <v>0</v>
      </c>
      <c r="C37" s="199">
        <v>0</v>
      </c>
    </row>
    <row r="38" spans="1:3" s="2" customFormat="1" ht="9.75">
      <c r="A38" s="191" t="s">
        <v>355</v>
      </c>
      <c r="B38" s="160">
        <f>SUM(B39:B43)</f>
        <v>5402588</v>
      </c>
      <c r="C38" s="160">
        <f>SUM(C39:C43)</f>
        <v>312720</v>
      </c>
    </row>
    <row r="39" spans="1:3" s="2" customFormat="1" ht="21.75" customHeight="1">
      <c r="A39" s="222" t="s">
        <v>356</v>
      </c>
      <c r="B39" s="199">
        <v>275294</v>
      </c>
      <c r="C39" s="199">
        <v>312690</v>
      </c>
    </row>
    <row r="40" spans="1:3" s="2" customFormat="1" ht="23.25" customHeight="1">
      <c r="A40" s="222" t="s">
        <v>357</v>
      </c>
      <c r="B40" s="199">
        <v>4312248</v>
      </c>
      <c r="C40" s="199">
        <v>0</v>
      </c>
    </row>
    <row r="41" spans="1:3" s="2" customFormat="1" ht="20.25">
      <c r="A41" s="222" t="s">
        <v>358</v>
      </c>
      <c r="B41" s="199">
        <v>0</v>
      </c>
      <c r="C41" s="199">
        <v>0</v>
      </c>
    </row>
    <row r="42" spans="1:3" s="2" customFormat="1" ht="20.25">
      <c r="A42" s="222" t="s">
        <v>685</v>
      </c>
      <c r="B42" s="199">
        <v>0</v>
      </c>
      <c r="C42" s="199">
        <v>0</v>
      </c>
    </row>
    <row r="43" spans="1:3" s="2" customFormat="1" ht="9.75">
      <c r="A43" s="222" t="s">
        <v>359</v>
      </c>
      <c r="B43" s="199">
        <f>646+814400</f>
        <v>815046</v>
      </c>
      <c r="C43" s="199">
        <v>30</v>
      </c>
    </row>
    <row r="44" spans="1:3" s="2" customFormat="1" ht="9.75">
      <c r="A44" s="191" t="s">
        <v>559</v>
      </c>
      <c r="B44" s="391">
        <v>0</v>
      </c>
      <c r="C44" s="391">
        <v>0</v>
      </c>
    </row>
    <row r="45" spans="1:3" s="2" customFormat="1" ht="9.75">
      <c r="A45" s="189" t="s">
        <v>271</v>
      </c>
      <c r="B45" s="123">
        <f>B29+B38+B44</f>
        <v>5798900</v>
      </c>
      <c r="C45" s="123">
        <f>C29+C38+C44</f>
        <v>762774</v>
      </c>
    </row>
    <row r="46" spans="1:3" s="2" customFormat="1" ht="9.75">
      <c r="A46" s="62"/>
      <c r="B46" s="381">
        <f>Pasywa!D23-B45</f>
        <v>0</v>
      </c>
      <c r="C46" s="381">
        <f>Pasywa!E23-C45</f>
        <v>0</v>
      </c>
    </row>
    <row r="48" spans="1:8" ht="12.75">
      <c r="A48" s="656" t="s">
        <v>199</v>
      </c>
      <c r="B48" s="656"/>
      <c r="C48" s="656"/>
      <c r="D48" s="656"/>
      <c r="E48" s="656"/>
      <c r="F48" s="656"/>
      <c r="G48" s="656"/>
      <c r="H48" s="656"/>
    </row>
    <row r="49" spans="1:8" ht="12.75">
      <c r="A49" s="146"/>
      <c r="B49" s="2"/>
      <c r="C49" s="2"/>
      <c r="D49" s="2"/>
      <c r="E49" s="2"/>
      <c r="F49" s="2"/>
      <c r="G49" s="2"/>
      <c r="H49" s="2"/>
    </row>
    <row r="50" spans="1:8" s="58" customFormat="1" ht="12.75" customHeight="1">
      <c r="A50" s="657" t="s">
        <v>381</v>
      </c>
      <c r="B50" s="654" t="s">
        <v>389</v>
      </c>
      <c r="C50" s="632" t="s">
        <v>68</v>
      </c>
      <c r="D50" s="654" t="s">
        <v>69</v>
      </c>
      <c r="E50" s="654"/>
      <c r="F50" s="654"/>
      <c r="G50" s="654"/>
      <c r="H50" s="654"/>
    </row>
    <row r="51" spans="1:8" s="58" customFormat="1" ht="27" customHeight="1">
      <c r="A51" s="657"/>
      <c r="B51" s="654"/>
      <c r="C51" s="632"/>
      <c r="D51" s="95" t="s">
        <v>145</v>
      </c>
      <c r="E51" s="95" t="s">
        <v>70</v>
      </c>
      <c r="F51" s="95" t="s">
        <v>146</v>
      </c>
      <c r="G51" s="95" t="s">
        <v>147</v>
      </c>
      <c r="H51" s="95" t="s">
        <v>148</v>
      </c>
    </row>
    <row r="52" spans="1:8" ht="12.75">
      <c r="A52" s="598">
        <f>'Dane podstawowe'!$B$9</f>
        <v>43465</v>
      </c>
      <c r="B52" s="160">
        <f aca="true" t="shared" si="3" ref="B52:B57">SUM(C52:H52)</f>
        <v>4984500</v>
      </c>
      <c r="C52" s="391">
        <f aca="true" t="shared" si="4" ref="C52:H52">C53+C54</f>
        <v>4984500</v>
      </c>
      <c r="D52" s="391">
        <f t="shared" si="4"/>
        <v>0</v>
      </c>
      <c r="E52" s="391">
        <f t="shared" si="4"/>
        <v>0</v>
      </c>
      <c r="F52" s="391">
        <f t="shared" si="4"/>
        <v>0</v>
      </c>
      <c r="G52" s="391">
        <f t="shared" si="4"/>
        <v>0</v>
      </c>
      <c r="H52" s="391">
        <f t="shared" si="4"/>
        <v>0</v>
      </c>
    </row>
    <row r="53" spans="1:8" ht="12.75">
      <c r="A53" s="191" t="s">
        <v>350</v>
      </c>
      <c r="B53" s="391">
        <f t="shared" si="3"/>
        <v>672252</v>
      </c>
      <c r="C53" s="391">
        <v>672252</v>
      </c>
      <c r="D53" s="391">
        <v>0</v>
      </c>
      <c r="E53" s="391">
        <v>0</v>
      </c>
      <c r="F53" s="391">
        <v>0</v>
      </c>
      <c r="G53" s="391">
        <v>0</v>
      </c>
      <c r="H53" s="391">
        <v>0</v>
      </c>
    </row>
    <row r="54" spans="1:8" ht="12.75">
      <c r="A54" s="191" t="s">
        <v>351</v>
      </c>
      <c r="B54" s="391">
        <f t="shared" si="3"/>
        <v>4312248</v>
      </c>
      <c r="C54" s="391">
        <v>4312248</v>
      </c>
      <c r="D54" s="391">
        <v>0</v>
      </c>
      <c r="E54" s="391">
        <v>0</v>
      </c>
      <c r="F54" s="391">
        <v>0</v>
      </c>
      <c r="G54" s="391">
        <v>0</v>
      </c>
      <c r="H54" s="391">
        <v>0</v>
      </c>
    </row>
    <row r="55" spans="1:8" ht="12.75">
      <c r="A55" s="598">
        <f>'Dane podstawowe'!$B$14</f>
        <v>43100</v>
      </c>
      <c r="B55" s="160">
        <f t="shared" si="3"/>
        <v>762774</v>
      </c>
      <c r="C55" s="391">
        <f aca="true" t="shared" si="5" ref="C55:H55">C56+C57</f>
        <v>762774</v>
      </c>
      <c r="D55" s="391">
        <f t="shared" si="5"/>
        <v>0</v>
      </c>
      <c r="E55" s="391">
        <f t="shared" si="5"/>
        <v>0</v>
      </c>
      <c r="F55" s="391">
        <f t="shared" si="5"/>
        <v>0</v>
      </c>
      <c r="G55" s="391">
        <f t="shared" si="5"/>
        <v>0</v>
      </c>
      <c r="H55" s="391">
        <f t="shared" si="5"/>
        <v>0</v>
      </c>
    </row>
    <row r="56" spans="1:8" s="62" customFormat="1" ht="9.75">
      <c r="A56" s="191" t="s">
        <v>350</v>
      </c>
      <c r="B56" s="391">
        <f t="shared" si="3"/>
        <v>0</v>
      </c>
      <c r="C56" s="391">
        <v>0</v>
      </c>
      <c r="D56" s="391">
        <v>0</v>
      </c>
      <c r="E56" s="391">
        <v>0</v>
      </c>
      <c r="F56" s="391">
        <v>0</v>
      </c>
      <c r="G56" s="391">
        <v>0</v>
      </c>
      <c r="H56" s="391">
        <v>0</v>
      </c>
    </row>
    <row r="57" spans="1:8" s="62" customFormat="1" ht="9.75">
      <c r="A57" s="191" t="s">
        <v>351</v>
      </c>
      <c r="B57" s="391">
        <f t="shared" si="3"/>
        <v>762774</v>
      </c>
      <c r="C57" s="391">
        <v>762774</v>
      </c>
      <c r="D57" s="391">
        <v>0</v>
      </c>
      <c r="E57" s="391">
        <v>0</v>
      </c>
      <c r="F57" s="391">
        <v>0</v>
      </c>
      <c r="G57" s="391">
        <v>0</v>
      </c>
      <c r="H57" s="391">
        <v>0</v>
      </c>
    </row>
    <row r="58" s="2" customFormat="1" ht="9.75">
      <c r="A58" s="85"/>
    </row>
  </sheetData>
  <sheetProtection/>
  <mergeCells count="10">
    <mergeCell ref="C50:C51"/>
    <mergeCell ref="D50:H50"/>
    <mergeCell ref="A12:G12"/>
    <mergeCell ref="A48:H48"/>
    <mergeCell ref="A50:A51"/>
    <mergeCell ref="B50:B51"/>
    <mergeCell ref="A14:A15"/>
    <mergeCell ref="B14:B15"/>
    <mergeCell ref="C14:C15"/>
    <mergeCell ref="D14:H14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7"/>
  <sheetViews>
    <sheetView showGridLines="0" view="pageBreakPreview" zoomScale="90" zoomScaleSheetLayoutView="90" zoomScalePageLayoutView="0" workbookViewId="0" topLeftCell="A1">
      <selection activeCell="A31" sqref="A31"/>
    </sheetView>
  </sheetViews>
  <sheetFormatPr defaultColWidth="9.28125" defaultRowHeight="12.75"/>
  <cols>
    <col min="1" max="1" width="50.421875" style="52" customWidth="1"/>
    <col min="2" max="5" width="16.57421875" style="52" customWidth="1"/>
    <col min="6" max="6" width="9.28125" style="52" customWidth="1"/>
    <col min="7" max="7" width="10.00390625" style="52" customWidth="1"/>
    <col min="8" max="8" width="10.28125" style="52" customWidth="1"/>
    <col min="9" max="9" width="10.421875" style="52" customWidth="1"/>
    <col min="10" max="16384" width="9.28125" style="52" customWidth="1"/>
  </cols>
  <sheetData>
    <row r="1" ht="12.75">
      <c r="A1" s="74"/>
    </row>
    <row r="2" s="469" customFormat="1" ht="12.75">
      <c r="A2" s="468" t="s">
        <v>863</v>
      </c>
    </row>
    <row r="3" s="2" customFormat="1" ht="9.75"/>
    <row r="4" spans="1:3" s="2" customFormat="1" ht="9.75">
      <c r="A4" s="147" t="s">
        <v>381</v>
      </c>
      <c r="B4" s="593">
        <f>'Dane podstawowe'!$B$9</f>
        <v>43465</v>
      </c>
      <c r="C4" s="593">
        <f>'Dane podstawowe'!$B$14</f>
        <v>43100</v>
      </c>
    </row>
    <row r="5" spans="1:3" s="2" customFormat="1" ht="9.75">
      <c r="A5" s="223" t="s">
        <v>277</v>
      </c>
      <c r="B5" s="123">
        <f>SUM(B6:B10)</f>
        <v>62265</v>
      </c>
      <c r="C5" s="123">
        <f>SUM(C6:C10)</f>
        <v>36819</v>
      </c>
    </row>
    <row r="6" spans="1:3" s="2" customFormat="1" ht="9.75">
      <c r="A6" s="69" t="s">
        <v>735</v>
      </c>
      <c r="B6" s="113">
        <v>0</v>
      </c>
      <c r="C6" s="113">
        <v>36819</v>
      </c>
    </row>
    <row r="7" spans="1:3" s="2" customFormat="1" ht="9.75">
      <c r="A7" s="69" t="s">
        <v>561</v>
      </c>
      <c r="B7" s="113">
        <v>62265</v>
      </c>
      <c r="C7" s="113">
        <v>0</v>
      </c>
    </row>
    <row r="8" spans="1:3" s="2" customFormat="1" ht="9.75" hidden="1">
      <c r="A8" s="68"/>
      <c r="B8" s="113"/>
      <c r="C8" s="113"/>
    </row>
    <row r="9" spans="1:3" s="2" customFormat="1" ht="9.75" hidden="1">
      <c r="A9" s="68"/>
      <c r="B9" s="123"/>
      <c r="C9" s="123"/>
    </row>
    <row r="10" spans="1:3" s="2" customFormat="1" ht="9.75" hidden="1">
      <c r="A10" s="68"/>
      <c r="B10" s="113"/>
      <c r="C10" s="113"/>
    </row>
    <row r="11" spans="1:3" s="2" customFormat="1" ht="9.75" hidden="1">
      <c r="A11" s="223" t="s">
        <v>561</v>
      </c>
      <c r="B11" s="123">
        <f>SUM(B12:B16)</f>
        <v>0</v>
      </c>
      <c r="C11" s="123">
        <f>SUM(C12:C16)</f>
        <v>0</v>
      </c>
    </row>
    <row r="12" spans="1:3" s="2" customFormat="1" ht="9.75" hidden="1">
      <c r="A12" s="68"/>
      <c r="B12" s="113"/>
      <c r="C12" s="113"/>
    </row>
    <row r="13" spans="1:3" s="2" customFormat="1" ht="9.75" hidden="1">
      <c r="A13" s="68"/>
      <c r="B13" s="113"/>
      <c r="C13" s="113"/>
    </row>
    <row r="14" spans="1:3" s="2" customFormat="1" ht="9.75" hidden="1">
      <c r="A14" s="68"/>
      <c r="B14" s="113"/>
      <c r="C14" s="113"/>
    </row>
    <row r="15" spans="1:3" s="2" customFormat="1" ht="9.75" hidden="1">
      <c r="A15" s="68"/>
      <c r="B15" s="123"/>
      <c r="C15" s="123"/>
    </row>
    <row r="16" spans="1:3" s="2" customFormat="1" ht="12.75" hidden="1">
      <c r="A16" s="68"/>
      <c r="B16" s="212"/>
      <c r="C16" s="212"/>
    </row>
    <row r="17" spans="1:3" s="2" customFormat="1" ht="9.75">
      <c r="A17" s="76" t="s">
        <v>277</v>
      </c>
      <c r="B17" s="123">
        <f>B5+B11</f>
        <v>62265</v>
      </c>
      <c r="C17" s="123">
        <f>C5+C11</f>
        <v>36819</v>
      </c>
    </row>
    <row r="18" spans="1:3" s="2" customFormat="1" ht="9.75">
      <c r="A18" s="75" t="s">
        <v>433</v>
      </c>
      <c r="B18" s="123">
        <v>0</v>
      </c>
      <c r="C18" s="123">
        <v>0</v>
      </c>
    </row>
    <row r="19" spans="1:3" s="2" customFormat="1" ht="9.75">
      <c r="A19" s="75" t="s">
        <v>432</v>
      </c>
      <c r="B19" s="199">
        <v>62265</v>
      </c>
      <c r="C19" s="199">
        <v>36819</v>
      </c>
    </row>
    <row r="20" spans="2:3" s="2" customFormat="1" ht="9.75">
      <c r="B20" s="385">
        <f>Pasywa!D24-'NOTA 24 - RMP'!B17</f>
        <v>0</v>
      </c>
      <c r="C20" s="385">
        <f>Pasywa!E24-'NOTA 24 - RMP'!C17</f>
        <v>0</v>
      </c>
    </row>
    <row r="21" s="2" customFormat="1" ht="9.75"/>
    <row r="37" ht="12.75">
      <c r="F37" s="379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5"/>
  <sheetViews>
    <sheetView showGridLines="0" view="pageBreakPreview" zoomScale="90" zoomScaleSheetLayoutView="90" zoomScalePageLayoutView="0" workbookViewId="0" topLeftCell="A7">
      <selection activeCell="A46" sqref="A46:IV68"/>
    </sheetView>
  </sheetViews>
  <sheetFormatPr defaultColWidth="9.28125" defaultRowHeight="12.75"/>
  <cols>
    <col min="1" max="1" width="54.7109375" style="52" customWidth="1"/>
    <col min="2" max="2" width="15.00390625" style="52" customWidth="1"/>
    <col min="3" max="3" width="14.57421875" style="52" customWidth="1"/>
    <col min="4" max="4" width="14.28125" style="52" customWidth="1"/>
    <col min="5" max="5" width="12.57421875" style="52" customWidth="1"/>
    <col min="6" max="16384" width="9.28125" style="52" customWidth="1"/>
  </cols>
  <sheetData>
    <row r="1" ht="12.75">
      <c r="A1" s="74"/>
    </row>
    <row r="2" s="469" customFormat="1" ht="12.75">
      <c r="A2" s="468" t="s">
        <v>864</v>
      </c>
    </row>
    <row r="3" s="2" customFormat="1" ht="9.75"/>
    <row r="4" spans="1:3" s="2" customFormat="1" ht="9.75">
      <c r="A4" s="192"/>
      <c r="B4" s="593">
        <f>'Dane podstawowe'!$B$9</f>
        <v>43465</v>
      </c>
      <c r="C4" s="593">
        <f>'Dane podstawowe'!$B$14</f>
        <v>43100</v>
      </c>
    </row>
    <row r="5" spans="1:3" s="2" customFormat="1" ht="9.75">
      <c r="A5" s="65" t="s">
        <v>168</v>
      </c>
      <c r="B5" s="106">
        <v>0</v>
      </c>
      <c r="C5" s="106">
        <v>0</v>
      </c>
    </row>
    <row r="6" spans="1:3" s="2" customFormat="1" ht="9.75">
      <c r="A6" s="65" t="s">
        <v>169</v>
      </c>
      <c r="B6" s="106">
        <v>0</v>
      </c>
      <c r="C6" s="106">
        <v>0</v>
      </c>
    </row>
    <row r="7" spans="1:3" s="2" customFormat="1" ht="9.75">
      <c r="A7" s="65" t="s">
        <v>170</v>
      </c>
      <c r="B7" s="106">
        <v>49873</v>
      </c>
      <c r="C7" s="106">
        <v>186400</v>
      </c>
    </row>
    <row r="8" spans="1:3" s="2" customFormat="1" ht="9.75">
      <c r="A8" s="65" t="s">
        <v>171</v>
      </c>
      <c r="B8" s="106">
        <v>0</v>
      </c>
      <c r="C8" s="106">
        <v>0</v>
      </c>
    </row>
    <row r="9" spans="1:3" s="2" customFormat="1" ht="9.75">
      <c r="A9" s="91" t="s">
        <v>384</v>
      </c>
      <c r="B9" s="104">
        <f>SUM(B5:B8)</f>
        <v>49873</v>
      </c>
      <c r="C9" s="104">
        <f>SUM(C5:C8)</f>
        <v>186400</v>
      </c>
    </row>
    <row r="10" spans="1:3" s="2" customFormat="1" ht="9.75">
      <c r="A10" s="65" t="s">
        <v>533</v>
      </c>
      <c r="B10" s="106">
        <v>0</v>
      </c>
      <c r="C10" s="106">
        <v>0</v>
      </c>
    </row>
    <row r="11" spans="1:3" s="2" customFormat="1" ht="9.75">
      <c r="A11" s="65" t="s">
        <v>534</v>
      </c>
      <c r="B11" s="106">
        <v>49873</v>
      </c>
      <c r="C11" s="106">
        <v>186400</v>
      </c>
    </row>
    <row r="12" spans="2:3" s="2" customFormat="1" ht="9.75">
      <c r="B12" s="381">
        <f>(Pasywa!D25+Pasywa!D16)-'NOTA 25,26 - Rezerwy'!B9</f>
        <v>0</v>
      </c>
      <c r="C12" s="381">
        <f>(Pasywa!E25+Pasywa!E16)-'NOTA 25,26 - Rezerwy'!C9</f>
        <v>0</v>
      </c>
    </row>
    <row r="13" s="2" customFormat="1" ht="9.75"/>
    <row r="14" s="2" customFormat="1" ht="9.75"/>
    <row r="15" s="2" customFormat="1" ht="9.75">
      <c r="A15" s="72" t="s">
        <v>244</v>
      </c>
    </row>
    <row r="16" s="2" customFormat="1" ht="9.75"/>
    <row r="17" spans="1:5" s="48" customFormat="1" ht="40.5">
      <c r="A17" s="185"/>
      <c r="B17" s="95" t="s">
        <v>168</v>
      </c>
      <c r="C17" s="95" t="s">
        <v>169</v>
      </c>
      <c r="D17" s="95" t="s">
        <v>170</v>
      </c>
      <c r="E17" s="95" t="s">
        <v>385</v>
      </c>
    </row>
    <row r="18" spans="1:5" s="2" customFormat="1" ht="9.75">
      <c r="A18" s="121" t="s">
        <v>794</v>
      </c>
      <c r="B18" s="104">
        <f>B29</f>
        <v>0</v>
      </c>
      <c r="C18" s="104">
        <f>C29</f>
        <v>0</v>
      </c>
      <c r="D18" s="104">
        <f>D29</f>
        <v>186400</v>
      </c>
      <c r="E18" s="104">
        <f>E29</f>
        <v>0</v>
      </c>
    </row>
    <row r="19" spans="1:5" s="2" customFormat="1" ht="9.75">
      <c r="A19" s="120" t="s">
        <v>386</v>
      </c>
      <c r="B19" s="106">
        <v>0</v>
      </c>
      <c r="C19" s="106">
        <v>0</v>
      </c>
      <c r="D19" s="216">
        <v>49873</v>
      </c>
      <c r="E19" s="216">
        <v>0</v>
      </c>
    </row>
    <row r="20" spans="1:5" s="2" customFormat="1" ht="9.75">
      <c r="A20" s="120" t="s">
        <v>370</v>
      </c>
      <c r="B20" s="106">
        <v>0</v>
      </c>
      <c r="C20" s="106">
        <v>0</v>
      </c>
      <c r="D20" s="216">
        <v>6218</v>
      </c>
      <c r="E20" s="216">
        <v>0</v>
      </c>
    </row>
    <row r="21" spans="1:5" s="2" customFormat="1" ht="9.75">
      <c r="A21" s="120" t="s">
        <v>371</v>
      </c>
      <c r="B21" s="106">
        <v>0</v>
      </c>
      <c r="C21" s="106">
        <v>0</v>
      </c>
      <c r="D21" s="216">
        <v>180182</v>
      </c>
      <c r="E21" s="216">
        <v>0</v>
      </c>
    </row>
    <row r="22" spans="1:5" s="2" customFormat="1" ht="9.75">
      <c r="A22" s="121" t="s">
        <v>796</v>
      </c>
      <c r="B22" s="104">
        <f>B18+B19-B20-B21</f>
        <v>0</v>
      </c>
      <c r="C22" s="104">
        <f>C18+C19-C20-C21</f>
        <v>0</v>
      </c>
      <c r="D22" s="104">
        <f>D18+D19-D20-D21</f>
        <v>49873</v>
      </c>
      <c r="E22" s="104">
        <f>E18+E19-E20-E21</f>
        <v>0</v>
      </c>
    </row>
    <row r="23" spans="1:5" s="2" customFormat="1" ht="9.75">
      <c r="A23" s="65" t="s">
        <v>533</v>
      </c>
      <c r="B23" s="106">
        <v>0</v>
      </c>
      <c r="C23" s="106">
        <v>0</v>
      </c>
      <c r="D23" s="216">
        <v>0</v>
      </c>
      <c r="E23" s="216">
        <v>0</v>
      </c>
    </row>
    <row r="24" spans="1:5" s="2" customFormat="1" ht="9.75">
      <c r="A24" s="65" t="s">
        <v>534</v>
      </c>
      <c r="B24" s="106">
        <v>0</v>
      </c>
      <c r="C24" s="106">
        <v>0</v>
      </c>
      <c r="D24" s="216">
        <v>49873</v>
      </c>
      <c r="E24" s="216">
        <v>0</v>
      </c>
    </row>
    <row r="25" spans="1:5" s="2" customFormat="1" ht="9.75">
      <c r="A25" s="121" t="s">
        <v>795</v>
      </c>
      <c r="B25" s="123">
        <v>0</v>
      </c>
      <c r="C25" s="123">
        <v>0</v>
      </c>
      <c r="D25" s="123">
        <v>101334</v>
      </c>
      <c r="E25" s="123">
        <v>0</v>
      </c>
    </row>
    <row r="26" spans="1:5" s="2" customFormat="1" ht="9.75">
      <c r="A26" s="120" t="s">
        <v>386</v>
      </c>
      <c r="B26" s="199">
        <v>0</v>
      </c>
      <c r="C26" s="199">
        <v>0</v>
      </c>
      <c r="D26" s="199">
        <v>141741</v>
      </c>
      <c r="E26" s="199">
        <v>0</v>
      </c>
    </row>
    <row r="27" spans="1:5" s="2" customFormat="1" ht="9.75">
      <c r="A27" s="120" t="s">
        <v>370</v>
      </c>
      <c r="B27" s="199">
        <v>0</v>
      </c>
      <c r="C27" s="199">
        <v>0</v>
      </c>
      <c r="D27" s="199">
        <v>56675</v>
      </c>
      <c r="E27" s="199">
        <v>0</v>
      </c>
    </row>
    <row r="28" spans="1:5" s="2" customFormat="1" ht="9.75">
      <c r="A28" s="120" t="s">
        <v>371</v>
      </c>
      <c r="B28" s="199">
        <v>0</v>
      </c>
      <c r="C28" s="199">
        <v>0</v>
      </c>
      <c r="D28" s="199">
        <v>0</v>
      </c>
      <c r="E28" s="199">
        <v>0</v>
      </c>
    </row>
    <row r="29" spans="1:5" s="2" customFormat="1" ht="9.75">
      <c r="A29" s="121" t="s">
        <v>797</v>
      </c>
      <c r="B29" s="123">
        <f>B25+B26-B27-B28</f>
        <v>0</v>
      </c>
      <c r="C29" s="123">
        <f>C25+C26-C27-C28</f>
        <v>0</v>
      </c>
      <c r="D29" s="123">
        <f>D25+D26-D27-D28</f>
        <v>186400</v>
      </c>
      <c r="E29" s="123">
        <f>E25+E26-E27-E28</f>
        <v>0</v>
      </c>
    </row>
    <row r="30" spans="1:5" s="2" customFormat="1" ht="9.75">
      <c r="A30" s="65" t="s">
        <v>533</v>
      </c>
      <c r="B30" s="199">
        <v>0</v>
      </c>
      <c r="C30" s="199">
        <v>0</v>
      </c>
      <c r="D30" s="199">
        <v>0</v>
      </c>
      <c r="E30" s="199">
        <v>0</v>
      </c>
    </row>
    <row r="31" spans="1:5" s="2" customFormat="1" ht="9.75">
      <c r="A31" s="65" t="s">
        <v>534</v>
      </c>
      <c r="B31" s="199">
        <v>0</v>
      </c>
      <c r="C31" s="199">
        <v>0</v>
      </c>
      <c r="D31" s="199">
        <v>186400</v>
      </c>
      <c r="E31" s="199">
        <v>0</v>
      </c>
    </row>
    <row r="32" s="2" customFormat="1" ht="9.75"/>
    <row r="33" s="2" customFormat="1" ht="9.75"/>
    <row r="34" s="469" customFormat="1" ht="12.75">
      <c r="A34" s="468" t="s">
        <v>865</v>
      </c>
    </row>
    <row r="35" s="62" customFormat="1" ht="9.75"/>
    <row r="36" spans="1:3" s="62" customFormat="1" ht="9.75">
      <c r="A36" s="192"/>
      <c r="B36" s="593">
        <f>'Dane podstawowe'!$B$9</f>
        <v>43465</v>
      </c>
      <c r="C36" s="593">
        <f>'Dane podstawowe'!$B$14</f>
        <v>43100</v>
      </c>
    </row>
    <row r="37" spans="1:3" s="62" customFormat="1" ht="9.75" hidden="1">
      <c r="A37" s="65" t="s">
        <v>639</v>
      </c>
      <c r="B37" s="106">
        <v>0</v>
      </c>
      <c r="C37" s="106"/>
    </row>
    <row r="38" spans="1:3" s="62" customFormat="1" ht="9.75">
      <c r="A38" s="65" t="s">
        <v>639</v>
      </c>
      <c r="B38" s="106">
        <v>34000</v>
      </c>
      <c r="C38" s="106">
        <v>29000</v>
      </c>
    </row>
    <row r="39" spans="1:3" s="62" customFormat="1" ht="9.75">
      <c r="A39" s="65" t="s">
        <v>640</v>
      </c>
      <c r="B39" s="106">
        <v>0</v>
      </c>
      <c r="C39" s="106">
        <v>0</v>
      </c>
    </row>
    <row r="40" spans="1:3" s="62" customFormat="1" ht="9.75">
      <c r="A40" s="65" t="s">
        <v>641</v>
      </c>
      <c r="B40" s="106">
        <v>0</v>
      </c>
      <c r="C40" s="106">
        <v>0</v>
      </c>
    </row>
    <row r="41" spans="1:3" s="62" customFormat="1" ht="9.75" hidden="1">
      <c r="A41" s="67"/>
      <c r="B41" s="106"/>
      <c r="C41" s="106"/>
    </row>
    <row r="42" spans="1:3" s="62" customFormat="1" ht="9.75">
      <c r="A42" s="91" t="s">
        <v>384</v>
      </c>
      <c r="B42" s="104">
        <f>SUM(B37:B41)</f>
        <v>34000</v>
      </c>
      <c r="C42" s="104">
        <f>SUM(C37:C41)</f>
        <v>29000</v>
      </c>
    </row>
    <row r="43" spans="1:3" s="62" customFormat="1" ht="9.75">
      <c r="A43" s="65" t="s">
        <v>533</v>
      </c>
      <c r="B43" s="106">
        <v>0</v>
      </c>
      <c r="C43" s="106">
        <v>0</v>
      </c>
    </row>
    <row r="44" spans="1:3" s="62" customFormat="1" ht="9.75">
      <c r="A44" s="65" t="s">
        <v>534</v>
      </c>
      <c r="B44" s="106">
        <v>34000</v>
      </c>
      <c r="C44" s="106">
        <v>29000</v>
      </c>
    </row>
    <row r="45" spans="2:4" s="62" customFormat="1" ht="9.75">
      <c r="B45" s="381">
        <f>(Pasywa!$D17+Pasywa!$D26)-B42</f>
        <v>0</v>
      </c>
      <c r="C45" s="375">
        <f>(Pasywa!$E17+Pasywa!$E26)-C42</f>
        <v>0</v>
      </c>
      <c r="D45" s="71"/>
    </row>
  </sheetData>
  <sheetProtection/>
  <printOptions/>
  <pageMargins left="0.75" right="0.75" top="1" bottom="1" header="0.5" footer="0.5"/>
  <pageSetup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5"/>
  <sheetViews>
    <sheetView showGridLines="0" view="pageBreakPreview" zoomScale="90" zoomScaleSheetLayoutView="90" zoomScalePageLayoutView="0" workbookViewId="0" topLeftCell="A1">
      <selection activeCell="H13" sqref="H13"/>
    </sheetView>
  </sheetViews>
  <sheetFormatPr defaultColWidth="9.28125" defaultRowHeight="12.75"/>
  <cols>
    <col min="1" max="1" width="54.7109375" style="52" customWidth="1"/>
    <col min="2" max="3" width="15.421875" style="52" customWidth="1"/>
    <col min="4" max="16384" width="9.28125" style="52" customWidth="1"/>
  </cols>
  <sheetData>
    <row r="1" ht="12.75">
      <c r="A1" s="74"/>
    </row>
    <row r="2" s="2" customFormat="1" ht="12.75">
      <c r="A2" s="468" t="s">
        <v>866</v>
      </c>
    </row>
    <row r="3" spans="1:6" s="2" customFormat="1" ht="9.75">
      <c r="A3" s="658"/>
      <c r="B3" s="658"/>
      <c r="C3" s="658"/>
      <c r="F3" s="119"/>
    </row>
    <row r="4" spans="1:3" s="2" customFormat="1" ht="9.75">
      <c r="A4" s="133" t="s">
        <v>381</v>
      </c>
      <c r="B4" s="593">
        <f>'Dane podstawowe'!$B$9</f>
        <v>43465</v>
      </c>
      <c r="C4" s="593">
        <f>'Dane podstawowe'!$B$14</f>
        <v>43100</v>
      </c>
    </row>
    <row r="5" spans="1:3" s="2" customFormat="1" ht="9.75">
      <c r="A5" s="55" t="s">
        <v>374</v>
      </c>
      <c r="B5" s="199">
        <f>Pasywa!D11+Pasywa!D19</f>
        <v>1380990</v>
      </c>
      <c r="C5" s="199">
        <f>Pasywa!E11+Pasywa!E19</f>
        <v>501630</v>
      </c>
    </row>
    <row r="6" spans="1:3" s="2" customFormat="1" ht="9.75">
      <c r="A6" s="55" t="s">
        <v>376</v>
      </c>
      <c r="B6" s="199">
        <f>Pasywa!D21+Pasywa!D23</f>
        <v>6335910</v>
      </c>
      <c r="C6" s="199">
        <f>Pasywa!E21+Pasywa!E23</f>
        <v>1680950</v>
      </c>
    </row>
    <row r="7" spans="1:3" s="2" customFormat="1" ht="9.75">
      <c r="A7" s="55" t="s">
        <v>202</v>
      </c>
      <c r="B7" s="199">
        <f>Aktywa!D22</f>
        <v>198695</v>
      </c>
      <c r="C7" s="199">
        <f>Aktywa!E22</f>
        <v>232378</v>
      </c>
    </row>
    <row r="8" spans="1:3" s="2" customFormat="1" ht="9.75">
      <c r="A8" s="54" t="s">
        <v>203</v>
      </c>
      <c r="B8" s="123">
        <f>B5+B6-B7</f>
        <v>7518205</v>
      </c>
      <c r="C8" s="123">
        <f>C5+C6-C7</f>
        <v>1950202</v>
      </c>
    </row>
    <row r="9" spans="1:3" s="2" customFormat="1" ht="9.75">
      <c r="A9" s="659"/>
      <c r="B9" s="660"/>
      <c r="C9" s="660"/>
    </row>
    <row r="10" spans="1:3" s="2" customFormat="1" ht="9.75">
      <c r="A10" s="55" t="s">
        <v>375</v>
      </c>
      <c r="B10" s="113"/>
      <c r="C10" s="113"/>
    </row>
    <row r="11" spans="1:3" s="2" customFormat="1" ht="9.75">
      <c r="A11" s="55" t="s">
        <v>204</v>
      </c>
      <c r="B11" s="113">
        <f>Pasywa!D3</f>
        <v>12167390</v>
      </c>
      <c r="C11" s="113">
        <f>Pasywa!E3</f>
        <v>11113793</v>
      </c>
    </row>
    <row r="12" spans="1:3" s="2" customFormat="1" ht="9.75">
      <c r="A12" s="55" t="s">
        <v>205</v>
      </c>
      <c r="B12" s="113"/>
      <c r="C12" s="113"/>
    </row>
    <row r="13" spans="1:3" s="2" customFormat="1" ht="9.75">
      <c r="A13" s="54" t="s">
        <v>206</v>
      </c>
      <c r="B13" s="123">
        <f>B12+B11+B10</f>
        <v>12167390</v>
      </c>
      <c r="C13" s="123">
        <f>C12+C11+C10</f>
        <v>11113793</v>
      </c>
    </row>
    <row r="14" spans="1:3" s="2" customFormat="1" ht="9.75">
      <c r="A14" s="77" t="s">
        <v>207</v>
      </c>
      <c r="B14" s="123">
        <f>B13+B8</f>
        <v>19685595</v>
      </c>
      <c r="C14" s="123">
        <f>C13+C8</f>
        <v>13063995</v>
      </c>
    </row>
    <row r="15" spans="1:3" s="2" customFormat="1" ht="9.75">
      <c r="A15" s="55" t="s">
        <v>208</v>
      </c>
      <c r="B15" s="559">
        <f>B8/B14</f>
        <v>0.38191403409447366</v>
      </c>
      <c r="C15" s="559">
        <f>C8/C14</f>
        <v>0.1492806756279377</v>
      </c>
    </row>
    <row r="16" s="2" customFormat="1" ht="9.75"/>
    <row r="17" s="2" customFormat="1" ht="9.75"/>
  </sheetData>
  <sheetProtection/>
  <mergeCells count="2">
    <mergeCell ref="A3:C3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SheetLayoutView="90" zoomScalePageLayoutView="0" workbookViewId="0" topLeftCell="A7">
      <selection activeCell="C32" sqref="C32"/>
    </sheetView>
  </sheetViews>
  <sheetFormatPr defaultColWidth="9.28125" defaultRowHeight="12.75"/>
  <cols>
    <col min="1" max="1" width="64.00390625" style="52" customWidth="1"/>
    <col min="2" max="7" width="15.421875" style="100" customWidth="1"/>
    <col min="8" max="9" width="15.421875" style="100" hidden="1" customWidth="1"/>
    <col min="10" max="11" width="15.421875" style="100" customWidth="1"/>
    <col min="12" max="12" width="15.421875" style="100" hidden="1" customWidth="1"/>
    <col min="13" max="13" width="14.28125" style="52" hidden="1" customWidth="1"/>
    <col min="14" max="16384" width="9.28125" style="52" customWidth="1"/>
  </cols>
  <sheetData>
    <row r="1" spans="1:13" ht="12.75">
      <c r="A1" s="74"/>
      <c r="B1"/>
      <c r="C1"/>
      <c r="D1"/>
      <c r="E1"/>
      <c r="F1"/>
      <c r="G1"/>
      <c r="H1"/>
      <c r="I1"/>
      <c r="J1"/>
      <c r="K1"/>
      <c r="L1"/>
      <c r="M1"/>
    </row>
    <row r="2" spans="1:12" s="62" customFormat="1" ht="12.75">
      <c r="A2" s="574" t="s">
        <v>867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2:12" s="62" customFormat="1" ht="9.75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3" s="256" customFormat="1" ht="45" customHeight="1">
      <c r="A4" s="150" t="s">
        <v>3</v>
      </c>
      <c r="B4" s="661" t="s">
        <v>4</v>
      </c>
      <c r="C4" s="662"/>
      <c r="D4" s="661" t="s">
        <v>5</v>
      </c>
      <c r="E4" s="662"/>
      <c r="F4" s="661" t="s">
        <v>6</v>
      </c>
      <c r="G4" s="662"/>
      <c r="H4" s="661" t="s">
        <v>7</v>
      </c>
      <c r="I4" s="662"/>
      <c r="J4" s="661" t="s">
        <v>357</v>
      </c>
      <c r="K4" s="662"/>
      <c r="L4" s="663" t="s">
        <v>8</v>
      </c>
      <c r="M4" s="663"/>
    </row>
    <row r="5" spans="1:13" s="62" customFormat="1" ht="9.75">
      <c r="A5" s="54" t="s">
        <v>103</v>
      </c>
      <c r="B5" s="578">
        <v>43465</v>
      </c>
      <c r="C5" s="578">
        <v>43100</v>
      </c>
      <c r="D5" s="578">
        <v>43465</v>
      </c>
      <c r="E5" s="578">
        <v>43100</v>
      </c>
      <c r="F5" s="578">
        <v>43465</v>
      </c>
      <c r="G5" s="578">
        <v>43100</v>
      </c>
      <c r="H5" s="575" t="s">
        <v>675</v>
      </c>
      <c r="I5" s="575" t="s">
        <v>605</v>
      </c>
      <c r="J5" s="578">
        <v>43465</v>
      </c>
      <c r="K5" s="578">
        <v>43100</v>
      </c>
      <c r="L5" s="575" t="s">
        <v>695</v>
      </c>
      <c r="M5" s="575" t="s">
        <v>675</v>
      </c>
    </row>
    <row r="6" spans="1:13" s="62" customFormat="1" ht="9.75">
      <c r="A6" s="470" t="s">
        <v>613</v>
      </c>
      <c r="B6" s="599"/>
      <c r="C6" s="599"/>
      <c r="D6" s="599"/>
      <c r="E6" s="599"/>
      <c r="G6" s="599"/>
      <c r="H6" s="599"/>
      <c r="I6" s="599"/>
      <c r="K6" s="115"/>
      <c r="L6" s="199"/>
      <c r="M6" s="470"/>
    </row>
    <row r="7" spans="1:13" s="62" customFormat="1" ht="9.75">
      <c r="A7" s="576" t="s">
        <v>195</v>
      </c>
      <c r="B7" s="123">
        <f>B8+B9+B10+B11+B12+B13+B14+B15</f>
        <v>2246654</v>
      </c>
      <c r="C7" s="105">
        <v>1948838.94</v>
      </c>
      <c r="D7" s="123">
        <f>D8+D9+D10+D11+D12+D13+D14</f>
        <v>1099261</v>
      </c>
      <c r="E7" s="105">
        <v>941015</v>
      </c>
      <c r="F7" s="123">
        <f>F8+F9+F10+F11+F12+F13+F14+F15</f>
        <v>1513941</v>
      </c>
      <c r="G7" s="105">
        <v>676906.22</v>
      </c>
      <c r="H7" s="600">
        <v>0</v>
      </c>
      <c r="I7" s="600">
        <v>0</v>
      </c>
      <c r="J7" s="123">
        <f>J8+J9+J10+J11+J12+J13+J14+J15</f>
        <v>216862</v>
      </c>
      <c r="K7" s="105">
        <v>949874</v>
      </c>
      <c r="L7" s="199"/>
      <c r="M7" s="470"/>
    </row>
    <row r="8" spans="1:13" s="62" customFormat="1" ht="9.75">
      <c r="A8" s="470" t="s">
        <v>798</v>
      </c>
      <c r="B8" s="199">
        <v>1066274</v>
      </c>
      <c r="C8" s="579">
        <v>890444</v>
      </c>
      <c r="D8" s="199">
        <v>382185</v>
      </c>
      <c r="E8" s="579">
        <v>659737</v>
      </c>
      <c r="F8" s="199">
        <v>215731</v>
      </c>
      <c r="G8" s="579">
        <v>102396</v>
      </c>
      <c r="H8" s="601"/>
      <c r="I8" s="601"/>
      <c r="J8" s="199">
        <v>63923</v>
      </c>
      <c r="K8" s="579">
        <v>852315</v>
      </c>
      <c r="L8" s="199"/>
      <c r="M8" s="577"/>
    </row>
    <row r="9" spans="1:13" s="62" customFormat="1" ht="9.75">
      <c r="A9" s="470" t="s">
        <v>799</v>
      </c>
      <c r="B9" s="199">
        <v>595971</v>
      </c>
      <c r="C9" s="579">
        <v>617084</v>
      </c>
      <c r="D9" s="199">
        <v>665969</v>
      </c>
      <c r="E9" s="579">
        <v>178842</v>
      </c>
      <c r="F9" s="199">
        <v>200501</v>
      </c>
      <c r="G9" s="579">
        <v>52900</v>
      </c>
      <c r="H9" s="601"/>
      <c r="I9" s="601"/>
      <c r="J9" s="199">
        <v>147527</v>
      </c>
      <c r="K9" s="579">
        <v>91150</v>
      </c>
      <c r="L9" s="199"/>
      <c r="M9" s="470"/>
    </row>
    <row r="10" spans="1:13" s="62" customFormat="1" ht="9.75">
      <c r="A10" s="470" t="s">
        <v>800</v>
      </c>
      <c r="B10" s="199">
        <v>489075</v>
      </c>
      <c r="C10" s="579">
        <v>417536</v>
      </c>
      <c r="D10" s="199">
        <v>30107</v>
      </c>
      <c r="E10" s="579">
        <v>78436</v>
      </c>
      <c r="F10" s="199">
        <v>70701</v>
      </c>
      <c r="G10" s="579">
        <v>161525</v>
      </c>
      <c r="H10" s="601"/>
      <c r="I10" s="601"/>
      <c r="J10" s="199">
        <v>5412</v>
      </c>
      <c r="K10" s="579">
        <v>6409</v>
      </c>
      <c r="L10" s="199"/>
      <c r="M10" s="470"/>
    </row>
    <row r="11" spans="1:13" s="62" customFormat="1" ht="9.75">
      <c r="A11" s="470" t="s">
        <v>801</v>
      </c>
      <c r="B11" s="199">
        <v>78648</v>
      </c>
      <c r="C11" s="356">
        <v>22244</v>
      </c>
      <c r="D11" s="199">
        <v>20500</v>
      </c>
      <c r="E11" s="356">
        <v>24000</v>
      </c>
      <c r="F11" s="199">
        <f>40265+628205</f>
        <v>668470</v>
      </c>
      <c r="G11" s="356">
        <v>212962</v>
      </c>
      <c r="H11" s="601"/>
      <c r="I11" s="601"/>
      <c r="J11" s="199">
        <v>0</v>
      </c>
      <c r="K11" s="356">
        <v>0</v>
      </c>
      <c r="L11" s="199"/>
      <c r="M11" s="470"/>
    </row>
    <row r="12" spans="1:13" s="62" customFormat="1" ht="9.75">
      <c r="A12" s="470" t="s">
        <v>802</v>
      </c>
      <c r="B12" s="199">
        <v>1512</v>
      </c>
      <c r="C12" s="356" t="s">
        <v>701</v>
      </c>
      <c r="D12" s="199">
        <v>0</v>
      </c>
      <c r="E12" s="356" t="s">
        <v>701</v>
      </c>
      <c r="F12" s="199">
        <v>992</v>
      </c>
      <c r="G12" s="356" t="s">
        <v>701</v>
      </c>
      <c r="H12" s="601"/>
      <c r="I12" s="601"/>
      <c r="J12" s="199">
        <v>0</v>
      </c>
      <c r="K12" s="356" t="s">
        <v>701</v>
      </c>
      <c r="L12" s="199"/>
      <c r="M12" s="470"/>
    </row>
    <row r="13" spans="1:13" s="62" customFormat="1" ht="9.75">
      <c r="A13" s="470" t="s">
        <v>803</v>
      </c>
      <c r="B13" s="199">
        <v>1268</v>
      </c>
      <c r="C13" s="356" t="s">
        <v>701</v>
      </c>
      <c r="D13" s="199">
        <v>0</v>
      </c>
      <c r="E13" s="356" t="s">
        <v>701</v>
      </c>
      <c r="F13" s="199">
        <f>1560+353013</f>
        <v>354573</v>
      </c>
      <c r="G13" s="356" t="s">
        <v>701</v>
      </c>
      <c r="H13" s="601"/>
      <c r="I13" s="601"/>
      <c r="J13" s="199">
        <v>0</v>
      </c>
      <c r="K13" s="356" t="s">
        <v>701</v>
      </c>
      <c r="L13" s="356"/>
      <c r="M13" s="470"/>
    </row>
    <row r="14" spans="1:13" s="62" customFormat="1" ht="9.75">
      <c r="A14" s="360" t="s">
        <v>702</v>
      </c>
      <c r="B14" s="199">
        <v>13906</v>
      </c>
      <c r="C14" s="117">
        <v>1530.94</v>
      </c>
      <c r="D14" s="199">
        <v>500</v>
      </c>
      <c r="E14" s="356">
        <v>0</v>
      </c>
      <c r="F14" s="199">
        <v>2973</v>
      </c>
      <c r="G14" s="356">
        <v>369</v>
      </c>
      <c r="H14" s="601"/>
      <c r="I14" s="601"/>
      <c r="J14" s="199">
        <v>0</v>
      </c>
      <c r="K14" s="356">
        <v>0</v>
      </c>
      <c r="L14" s="356"/>
      <c r="M14" s="470"/>
    </row>
    <row r="15" spans="1:13" s="62" customFormat="1" ht="9.75">
      <c r="A15" s="470" t="s">
        <v>703</v>
      </c>
      <c r="B15" s="199">
        <v>0</v>
      </c>
      <c r="C15" s="356">
        <v>0</v>
      </c>
      <c r="D15" s="199">
        <v>0</v>
      </c>
      <c r="E15" s="356">
        <v>0</v>
      </c>
      <c r="F15" s="199">
        <v>0</v>
      </c>
      <c r="G15" s="356">
        <v>146754</v>
      </c>
      <c r="H15" s="601"/>
      <c r="I15" s="601"/>
      <c r="J15" s="199">
        <v>0</v>
      </c>
      <c r="K15" s="356">
        <v>0</v>
      </c>
      <c r="L15" s="108">
        <v>0</v>
      </c>
      <c r="M15" s="108">
        <v>0</v>
      </c>
    </row>
    <row r="16" spans="1:13" s="62" customFormat="1" ht="11.25" customHeight="1">
      <c r="A16" s="576" t="s">
        <v>642</v>
      </c>
      <c r="B16" s="123">
        <f>B20+B23</f>
        <v>3107</v>
      </c>
      <c r="C16" s="105">
        <v>10124</v>
      </c>
      <c r="D16" s="123">
        <f>D18+D21+D22</f>
        <v>99768</v>
      </c>
      <c r="E16" s="105">
        <v>86603</v>
      </c>
      <c r="F16" s="123">
        <f>F20+F23</f>
        <v>259847</v>
      </c>
      <c r="G16" s="105">
        <v>502008.14</v>
      </c>
      <c r="H16" s="600">
        <v>0</v>
      </c>
      <c r="I16" s="600">
        <v>0</v>
      </c>
      <c r="J16" s="123">
        <f>J21+J22</f>
        <v>4269</v>
      </c>
      <c r="K16" s="105">
        <v>0</v>
      </c>
      <c r="L16" s="108">
        <v>0</v>
      </c>
      <c r="M16" s="108">
        <v>0</v>
      </c>
    </row>
    <row r="17" spans="1:13" s="62" customFormat="1" ht="9.75">
      <c r="A17" s="470" t="s">
        <v>643</v>
      </c>
      <c r="B17" s="547" t="s">
        <v>701</v>
      </c>
      <c r="C17" s="579">
        <v>3890</v>
      </c>
      <c r="D17" s="547" t="s">
        <v>701</v>
      </c>
      <c r="E17" s="579">
        <v>80590</v>
      </c>
      <c r="F17" s="547" t="s">
        <v>701</v>
      </c>
      <c r="G17" s="579">
        <v>0</v>
      </c>
      <c r="H17" s="601"/>
      <c r="I17" s="601"/>
      <c r="J17" s="547" t="s">
        <v>701</v>
      </c>
      <c r="K17" s="579">
        <v>0</v>
      </c>
      <c r="L17" s="115"/>
      <c r="M17" s="470"/>
    </row>
    <row r="18" spans="1:13" s="62" customFormat="1" ht="11.25" customHeight="1">
      <c r="A18" s="470" t="s">
        <v>690</v>
      </c>
      <c r="B18" s="547">
        <v>0</v>
      </c>
      <c r="C18" s="579">
        <v>0</v>
      </c>
      <c r="D18" s="547">
        <v>1811</v>
      </c>
      <c r="E18" s="579">
        <v>6013</v>
      </c>
      <c r="F18" s="547">
        <v>0</v>
      </c>
      <c r="G18" s="579">
        <v>0</v>
      </c>
      <c r="H18" s="601"/>
      <c r="I18" s="601"/>
      <c r="J18" s="547">
        <v>0</v>
      </c>
      <c r="K18" s="579">
        <v>0</v>
      </c>
      <c r="L18" s="115"/>
      <c r="M18" s="470"/>
    </row>
    <row r="19" spans="1:13" s="62" customFormat="1" ht="11.25" customHeight="1">
      <c r="A19" s="470" t="s">
        <v>691</v>
      </c>
      <c r="B19" s="547" t="s">
        <v>701</v>
      </c>
      <c r="C19" s="579">
        <v>6234</v>
      </c>
      <c r="D19" s="547" t="s">
        <v>701</v>
      </c>
      <c r="E19" s="579">
        <v>0</v>
      </c>
      <c r="F19" s="547" t="s">
        <v>701</v>
      </c>
      <c r="G19" s="579">
        <v>378</v>
      </c>
      <c r="H19" s="601"/>
      <c r="I19" s="601"/>
      <c r="J19" s="547" t="s">
        <v>701</v>
      </c>
      <c r="K19" s="579">
        <v>0</v>
      </c>
      <c r="L19" s="356"/>
      <c r="M19" s="470"/>
    </row>
    <row r="20" spans="1:13" s="62" customFormat="1" ht="11.25" customHeight="1">
      <c r="A20" s="470" t="s">
        <v>704</v>
      </c>
      <c r="B20" s="547">
        <v>2877</v>
      </c>
      <c r="C20" s="579">
        <v>0</v>
      </c>
      <c r="D20" s="547">
        <v>0</v>
      </c>
      <c r="E20" s="579">
        <v>0</v>
      </c>
      <c r="F20" s="547">
        <v>259565</v>
      </c>
      <c r="G20" s="579">
        <v>501630</v>
      </c>
      <c r="H20" s="601"/>
      <c r="I20" s="601"/>
      <c r="J20" s="547">
        <v>0</v>
      </c>
      <c r="K20" s="579">
        <v>0</v>
      </c>
      <c r="L20" s="115"/>
      <c r="M20" s="470"/>
    </row>
    <row r="21" spans="1:13" s="62" customFormat="1" ht="11.25" customHeight="1">
      <c r="A21" s="470" t="s">
        <v>804</v>
      </c>
      <c r="B21" s="547">
        <v>0</v>
      </c>
      <c r="C21" s="579" t="s">
        <v>701</v>
      </c>
      <c r="D21" s="547">
        <v>94503</v>
      </c>
      <c r="E21" s="579" t="s">
        <v>701</v>
      </c>
      <c r="F21" s="547">
        <v>0</v>
      </c>
      <c r="G21" s="579" t="s">
        <v>701</v>
      </c>
      <c r="H21" s="601"/>
      <c r="I21" s="601"/>
      <c r="J21" s="547">
        <v>21</v>
      </c>
      <c r="K21" s="579" t="s">
        <v>701</v>
      </c>
      <c r="L21" s="356"/>
      <c r="M21" s="470"/>
    </row>
    <row r="22" spans="1:13" s="62" customFormat="1" ht="9.75" customHeight="1">
      <c r="A22" s="470" t="s">
        <v>805</v>
      </c>
      <c r="B22" s="547">
        <v>0</v>
      </c>
      <c r="C22" s="579" t="s">
        <v>701</v>
      </c>
      <c r="D22" s="547">
        <v>3454</v>
      </c>
      <c r="E22" s="579" t="s">
        <v>701</v>
      </c>
      <c r="F22" s="547">
        <v>0</v>
      </c>
      <c r="G22" s="579" t="s">
        <v>701</v>
      </c>
      <c r="H22" s="601"/>
      <c r="I22" s="601"/>
      <c r="J22" s="547">
        <v>4248</v>
      </c>
      <c r="K22" s="579" t="s">
        <v>701</v>
      </c>
      <c r="L22" s="115"/>
      <c r="M22" s="470"/>
    </row>
    <row r="23" spans="1:13" s="62" customFormat="1" ht="9.75" customHeight="1">
      <c r="A23" s="470" t="s">
        <v>644</v>
      </c>
      <c r="B23" s="547">
        <v>230</v>
      </c>
      <c r="C23" s="579">
        <v>0</v>
      </c>
      <c r="D23" s="547">
        <v>0</v>
      </c>
      <c r="E23" s="356">
        <v>0</v>
      </c>
      <c r="F23" s="547">
        <v>282</v>
      </c>
      <c r="G23" s="356">
        <v>0</v>
      </c>
      <c r="H23" s="601"/>
      <c r="I23" s="601"/>
      <c r="J23" s="547">
        <v>0</v>
      </c>
      <c r="K23" s="356">
        <v>0</v>
      </c>
      <c r="L23" s="115"/>
      <c r="M23" s="470"/>
    </row>
    <row r="24" spans="1:11" ht="12.75">
      <c r="A24" s="62"/>
      <c r="B24" s="602"/>
      <c r="C24" s="256"/>
      <c r="D24" s="256"/>
      <c r="E24" s="256"/>
      <c r="F24" s="504"/>
      <c r="G24" s="256"/>
      <c r="H24" s="256"/>
      <c r="I24" s="256"/>
      <c r="J24" s="256"/>
      <c r="K24" s="256"/>
    </row>
    <row r="25" spans="1:11" ht="12.75">
      <c r="A25" s="62"/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  <row r="26" ht="12.75">
      <c r="A26" s="62" t="s">
        <v>806</v>
      </c>
    </row>
  </sheetData>
  <sheetProtection/>
  <mergeCells count="6">
    <mergeCell ref="F4:G4"/>
    <mergeCell ref="H4:I4"/>
    <mergeCell ref="J4:K4"/>
    <mergeCell ref="L4:M4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D47"/>
  <sheetViews>
    <sheetView showGridLines="0" zoomScaleSheetLayoutView="90" zoomScalePageLayoutView="0" workbookViewId="0" topLeftCell="C4">
      <selection activeCell="O12" sqref="O12"/>
    </sheetView>
  </sheetViews>
  <sheetFormatPr defaultColWidth="9.28125" defaultRowHeight="12.75"/>
  <cols>
    <col min="1" max="2" width="3.7109375" style="36" customWidth="1"/>
    <col min="3" max="3" width="55.7109375" style="36" customWidth="1"/>
    <col min="4" max="4" width="8.7109375" style="36" customWidth="1"/>
    <col min="5" max="5" width="17.421875" style="36" customWidth="1"/>
    <col min="6" max="6" width="17.7109375" style="36" customWidth="1"/>
    <col min="7" max="16384" width="9.28125" style="36" customWidth="1"/>
  </cols>
  <sheetData>
    <row r="1" s="42" customFormat="1" ht="17.25" customHeight="1">
      <c r="C1" s="244"/>
    </row>
    <row r="2" spans="1:30" s="240" customFormat="1" ht="20.25">
      <c r="A2" s="238"/>
      <c r="B2" s="238"/>
      <c r="C2" s="235"/>
      <c r="D2" s="235" t="s">
        <v>418</v>
      </c>
      <c r="E2" s="235" t="str">
        <f>CONCATENATE("za okres ",'Dane podstawowe'!$B$7)</f>
        <v>za okres 01.01.2018 - 31.12.2018</v>
      </c>
      <c r="F2" s="235" t="str">
        <f>CONCATENATE("za okres ",'Dane podstawowe'!$B$12)</f>
        <v>za okres 01.01.2017 - 31.12.2017</v>
      </c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3:6" s="237" customFormat="1" ht="9.75">
      <c r="C3" s="225" t="s">
        <v>284</v>
      </c>
      <c r="D3" s="236" t="s">
        <v>548</v>
      </c>
      <c r="E3" s="409">
        <f>SUM(E4:E6)</f>
        <v>10400700</v>
      </c>
      <c r="F3" s="409">
        <f>SUM(F4:F6)</f>
        <v>10535809</v>
      </c>
    </row>
    <row r="4" spans="3:6" s="238" customFormat="1" ht="9.75">
      <c r="C4" s="226" t="s">
        <v>487</v>
      </c>
      <c r="D4" s="236"/>
      <c r="E4" s="410">
        <v>0</v>
      </c>
      <c r="F4" s="410">
        <v>0</v>
      </c>
    </row>
    <row r="5" spans="3:6" s="238" customFormat="1" ht="9.75">
      <c r="C5" s="226" t="s">
        <v>486</v>
      </c>
      <c r="D5" s="236"/>
      <c r="E5" s="410">
        <v>10400700</v>
      </c>
      <c r="F5" s="410">
        <v>10535809</v>
      </c>
    </row>
    <row r="6" spans="3:6" s="238" customFormat="1" ht="9.75">
      <c r="C6" s="226" t="s">
        <v>488</v>
      </c>
      <c r="D6" s="236"/>
      <c r="E6" s="410">
        <v>0</v>
      </c>
      <c r="F6" s="410">
        <v>0</v>
      </c>
    </row>
    <row r="7" spans="3:6" s="238" customFormat="1" ht="9.75">
      <c r="C7" s="225" t="s">
        <v>615</v>
      </c>
      <c r="D7" s="236" t="s">
        <v>645</v>
      </c>
      <c r="E7" s="411">
        <f>SUM(E8:E15)</f>
        <v>11779893</v>
      </c>
      <c r="F7" s="411">
        <f>SUM(F8:F15)</f>
        <v>11419409</v>
      </c>
    </row>
    <row r="8" spans="3:6" s="238" customFormat="1" ht="9.75">
      <c r="C8" s="226" t="s">
        <v>393</v>
      </c>
      <c r="D8" s="236"/>
      <c r="E8" s="412">
        <v>754139</v>
      </c>
      <c r="F8" s="412">
        <v>455206</v>
      </c>
    </row>
    <row r="9" spans="3:6" s="238" customFormat="1" ht="9.75">
      <c r="C9" s="226" t="s">
        <v>616</v>
      </c>
      <c r="D9" s="236"/>
      <c r="E9" s="410">
        <v>202726</v>
      </c>
      <c r="F9" s="410">
        <v>202164</v>
      </c>
    </row>
    <row r="10" spans="3:6" s="238" customFormat="1" ht="9.75">
      <c r="C10" s="226" t="s">
        <v>617</v>
      </c>
      <c r="D10" s="236"/>
      <c r="E10" s="410">
        <v>4687819</v>
      </c>
      <c r="F10" s="410">
        <v>4678738</v>
      </c>
    </row>
    <row r="11" spans="3:6" s="238" customFormat="1" ht="9.75">
      <c r="C11" s="226" t="s">
        <v>618</v>
      </c>
      <c r="D11" s="236"/>
      <c r="E11" s="410">
        <v>122902</v>
      </c>
      <c r="F11" s="410">
        <v>94565</v>
      </c>
    </row>
    <row r="12" spans="3:6" s="238" customFormat="1" ht="9.75">
      <c r="C12" s="226" t="s">
        <v>313</v>
      </c>
      <c r="D12" s="236"/>
      <c r="E12" s="410">
        <v>4854313</v>
      </c>
      <c r="F12" s="410">
        <v>4953606</v>
      </c>
    </row>
    <row r="13" spans="3:6" s="238" customFormat="1" ht="9.75">
      <c r="C13" s="226" t="s">
        <v>619</v>
      </c>
      <c r="D13" s="236"/>
      <c r="E13" s="410">
        <v>912878</v>
      </c>
      <c r="F13" s="410">
        <v>687475</v>
      </c>
    </row>
    <row r="14" spans="3:6" s="237" customFormat="1" ht="9.75">
      <c r="C14" s="226" t="s">
        <v>620</v>
      </c>
      <c r="D14" s="236"/>
      <c r="E14" s="410">
        <v>245116</v>
      </c>
      <c r="F14" s="410">
        <v>347655</v>
      </c>
    </row>
    <row r="15" spans="3:6" s="238" customFormat="1" ht="9.75">
      <c r="C15" s="226" t="s">
        <v>398</v>
      </c>
      <c r="D15" s="236"/>
      <c r="E15" s="410">
        <v>0</v>
      </c>
      <c r="F15" s="410">
        <v>0</v>
      </c>
    </row>
    <row r="16" spans="3:6" s="238" customFormat="1" ht="9.75">
      <c r="C16" s="227" t="s">
        <v>233</v>
      </c>
      <c r="D16" s="236"/>
      <c r="E16" s="413">
        <f>E3-E7</f>
        <v>-1379193</v>
      </c>
      <c r="F16" s="413">
        <f>F3-F7</f>
        <v>-883600</v>
      </c>
    </row>
    <row r="17" spans="3:6" s="238" customFormat="1" ht="9.75">
      <c r="C17" s="226" t="s">
        <v>591</v>
      </c>
      <c r="D17" s="236"/>
      <c r="E17" s="410">
        <v>0</v>
      </c>
      <c r="F17" s="410">
        <v>0</v>
      </c>
    </row>
    <row r="18" spans="3:6" s="238" customFormat="1" ht="9.75">
      <c r="C18" s="228" t="s">
        <v>234</v>
      </c>
      <c r="D18" s="236" t="s">
        <v>549</v>
      </c>
      <c r="E18" s="410">
        <v>32542</v>
      </c>
      <c r="F18" s="410">
        <v>22551</v>
      </c>
    </row>
    <row r="19" spans="3:6" s="238" customFormat="1" ht="9.75">
      <c r="C19" s="228" t="s">
        <v>235</v>
      </c>
      <c r="D19" s="236" t="s">
        <v>549</v>
      </c>
      <c r="E19" s="410">
        <v>313805</v>
      </c>
      <c r="F19" s="410">
        <v>158699</v>
      </c>
    </row>
    <row r="20" spans="3:6" s="238" customFormat="1" ht="9.75">
      <c r="C20" s="228" t="s">
        <v>590</v>
      </c>
      <c r="D20" s="236"/>
      <c r="E20" s="410">
        <v>0</v>
      </c>
      <c r="F20" s="410">
        <v>0</v>
      </c>
    </row>
    <row r="21" spans="3:6" s="238" customFormat="1" ht="9.75">
      <c r="C21" s="227" t="s">
        <v>236</v>
      </c>
      <c r="D21" s="236"/>
      <c r="E21" s="413">
        <f>E16+E17+E18-E19-E20</f>
        <v>-1660456</v>
      </c>
      <c r="F21" s="413">
        <f>F16+F17+F18-F19-F20</f>
        <v>-1019748</v>
      </c>
    </row>
    <row r="22" spans="3:6" s="238" customFormat="1" ht="9.75">
      <c r="C22" s="228" t="s">
        <v>380</v>
      </c>
      <c r="D22" s="236" t="s">
        <v>550</v>
      </c>
      <c r="E22" s="412">
        <v>3055910</v>
      </c>
      <c r="F22" s="412">
        <v>1462275</v>
      </c>
    </row>
    <row r="23" spans="3:7" s="238" customFormat="1" ht="9.75">
      <c r="C23" s="228" t="s">
        <v>64</v>
      </c>
      <c r="D23" s="236" t="s">
        <v>550</v>
      </c>
      <c r="E23" s="410">
        <v>224063</v>
      </c>
      <c r="F23" s="410">
        <v>153938</v>
      </c>
      <c r="G23" s="444"/>
    </row>
    <row r="24" spans="3:7" s="238" customFormat="1" ht="9.75">
      <c r="C24" s="228" t="s">
        <v>592</v>
      </c>
      <c r="D24" s="236"/>
      <c r="E24" s="410">
        <v>0</v>
      </c>
      <c r="F24" s="410">
        <v>0</v>
      </c>
      <c r="G24" s="444"/>
    </row>
    <row r="25" spans="3:6" s="238" customFormat="1" ht="9.75">
      <c r="C25" s="227" t="s">
        <v>562</v>
      </c>
      <c r="D25" s="236"/>
      <c r="E25" s="413">
        <f>E21+E22-E23</f>
        <v>1171391</v>
      </c>
      <c r="F25" s="413">
        <f>F21+F22-F23</f>
        <v>288589</v>
      </c>
    </row>
    <row r="26" spans="3:6" s="238" customFormat="1" ht="9.75">
      <c r="C26" s="228" t="s">
        <v>563</v>
      </c>
      <c r="D26" s="236" t="s">
        <v>551</v>
      </c>
      <c r="E26" s="412">
        <v>104020</v>
      </c>
      <c r="F26" s="412">
        <v>115530</v>
      </c>
    </row>
    <row r="27" spans="3:6" s="238" customFormat="1" ht="9.75">
      <c r="C27" s="227" t="s">
        <v>237</v>
      </c>
      <c r="D27" s="236" t="s">
        <v>552</v>
      </c>
      <c r="E27" s="413">
        <f>E25-E26</f>
        <v>1067371</v>
      </c>
      <c r="F27" s="413">
        <f>F25-F26</f>
        <v>173059</v>
      </c>
    </row>
    <row r="28" spans="3:6" s="238" customFormat="1" ht="9.75">
      <c r="C28" s="229" t="s">
        <v>238</v>
      </c>
      <c r="D28" s="236" t="s">
        <v>552</v>
      </c>
      <c r="E28" s="410">
        <v>0</v>
      </c>
      <c r="F28" s="410">
        <v>0</v>
      </c>
    </row>
    <row r="29" spans="3:6" s="239" customFormat="1" ht="9.75">
      <c r="C29" s="227" t="s">
        <v>280</v>
      </c>
      <c r="D29" s="236"/>
      <c r="E29" s="413">
        <f>E27+E28</f>
        <v>1067371</v>
      </c>
      <c r="F29" s="413">
        <f>F27+F28</f>
        <v>173059</v>
      </c>
    </row>
    <row r="30" spans="3:6" s="239" customFormat="1" ht="9.75">
      <c r="C30" s="230"/>
      <c r="D30" s="236"/>
      <c r="E30" s="232"/>
      <c r="F30" s="232"/>
    </row>
    <row r="31" spans="3:6" s="239" customFormat="1" ht="9.75">
      <c r="C31" s="231" t="s">
        <v>489</v>
      </c>
      <c r="D31" s="236"/>
      <c r="E31" s="232"/>
      <c r="F31" s="232"/>
    </row>
    <row r="32" spans="3:6" s="239" customFormat="1" ht="9.75">
      <c r="C32" s="66" t="s">
        <v>285</v>
      </c>
      <c r="D32" s="236"/>
      <c r="E32" s="232">
        <f>'NOTA 7 - Zysk na 1 akcję'!B7/'NOTA 7 - Zysk na 1 akcję'!B16</f>
        <v>0.46578540036857136</v>
      </c>
      <c r="F32" s="232">
        <f>'NOTA 7 - Zysk na 1 akcję'!C7/'NOTA 7 - Zysk na 1 akcję'!C16</f>
        <v>0.07552046626935206</v>
      </c>
    </row>
    <row r="33" spans="3:6" s="239" customFormat="1" ht="9.75">
      <c r="C33" s="66" t="s">
        <v>286</v>
      </c>
      <c r="D33" s="236"/>
      <c r="E33" s="232">
        <f>'NOTA 7 - Zysk na 1 akcję'!B12/'NOTA 7 - Zysk na 1 akcję'!B21</f>
        <v>0.46578540036857136</v>
      </c>
      <c r="F33" s="232">
        <f>'NOTA 7 - Zysk na 1 akcję'!C12/'NOTA 7 - Zysk na 1 akcję'!C21</f>
        <v>0.07552046626935206</v>
      </c>
    </row>
    <row r="34" spans="3:6" s="238" customFormat="1" ht="9.75">
      <c r="C34" s="230" t="s">
        <v>287</v>
      </c>
      <c r="D34" s="236"/>
      <c r="E34" s="234"/>
      <c r="F34" s="234"/>
    </row>
    <row r="35" spans="3:6" s="238" customFormat="1" ht="9.75">
      <c r="C35" s="226" t="s">
        <v>285</v>
      </c>
      <c r="D35" s="226"/>
      <c r="E35" s="233">
        <f>'NOTA 7 - Zysk na 1 akcję'!B5/'NOTA 7 - Zysk na 1 akcję'!B16</f>
        <v>0.46578540036857136</v>
      </c>
      <c r="F35" s="233">
        <f>'NOTA 7 - Zysk na 1 akcję'!C5/'NOTA 7 - Zysk na 1 akcję'!C16</f>
        <v>0.07552046626935206</v>
      </c>
    </row>
    <row r="36" spans="3:6" s="238" customFormat="1" ht="9.75">
      <c r="C36" s="226" t="s">
        <v>286</v>
      </c>
      <c r="D36" s="226"/>
      <c r="E36" s="233">
        <f>('NOTA 7 - Zysk na 1 akcję'!B8+'NOTA 7 - Zysk na 1 akcję'!B5)/'NOTA 7 - Zysk na 1 akcję'!B21</f>
        <v>0.46578540036857136</v>
      </c>
      <c r="F36" s="233">
        <f>('NOTA 7 - Zysk na 1 akcję'!C8+'NOTA 7 - Zysk na 1 akcję'!C5)/'NOTA 7 - Zysk na 1 akcję'!C21</f>
        <v>0.07552046626935206</v>
      </c>
    </row>
    <row r="37" spans="3:6" s="238" customFormat="1" ht="9.75">
      <c r="C37" s="230" t="s">
        <v>288</v>
      </c>
      <c r="D37" s="226"/>
      <c r="E37" s="234">
        <f>'NOTA 7 - Zysk na 1 akcję'!B6/'NOTA 7 - Zysk na 1 akcję'!B16</f>
        <v>0</v>
      </c>
      <c r="F37" s="234">
        <f>'NOTA 7 - Zysk na 1 akcję'!C6/'NOTA 7 - Zysk na 1 akcję'!C16</f>
        <v>0</v>
      </c>
    </row>
    <row r="38" spans="3:6" s="42" customFormat="1" ht="12.75">
      <c r="C38" s="25"/>
      <c r="D38" s="30"/>
      <c r="E38" s="29"/>
      <c r="F38" s="26"/>
    </row>
    <row r="39" spans="3:6" s="42" customFormat="1" ht="12.75">
      <c r="C39" s="25"/>
      <c r="D39" s="30"/>
      <c r="E39" s="29"/>
      <c r="F39" s="26"/>
    </row>
    <row r="40" spans="3:6" s="42" customFormat="1" ht="12.75">
      <c r="C40" s="25"/>
      <c r="D40" s="30"/>
      <c r="E40" s="31"/>
      <c r="F40" s="26"/>
    </row>
    <row r="41" spans="3:6" s="42" customFormat="1" ht="12.75">
      <c r="C41" s="25"/>
      <c r="D41" s="30"/>
      <c r="E41" s="29"/>
      <c r="F41" s="26"/>
    </row>
    <row r="42" spans="3:6" s="42" customFormat="1" ht="12.75">
      <c r="C42" s="25"/>
      <c r="D42" s="30"/>
      <c r="E42" s="26"/>
      <c r="F42" s="26"/>
    </row>
    <row r="43" spans="3:6" s="42" customFormat="1" ht="13.5">
      <c r="C43" s="33"/>
      <c r="D43" s="32"/>
      <c r="E43" s="26"/>
      <c r="F43" s="26"/>
    </row>
    <row r="44" spans="3:6" s="42" customFormat="1" ht="12.75">
      <c r="C44" s="25"/>
      <c r="D44" s="30"/>
      <c r="E44" s="26"/>
      <c r="F44" s="26"/>
    </row>
    <row r="45" spans="3:6" s="42" customFormat="1" ht="13.5">
      <c r="C45" s="33"/>
      <c r="D45" s="32"/>
      <c r="E45" s="26"/>
      <c r="F45" s="26"/>
    </row>
    <row r="46" spans="3:6" s="42" customFormat="1" ht="12.75">
      <c r="C46" s="35"/>
      <c r="D46" s="218"/>
      <c r="E46" s="26"/>
      <c r="F46" s="26"/>
    </row>
    <row r="47" spans="3:6" s="42" customFormat="1" ht="12.75">
      <c r="C47" s="35"/>
      <c r="D47" s="218"/>
      <c r="E47" s="26"/>
      <c r="F47" s="26"/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0"/>
  <sheetViews>
    <sheetView showGridLines="0" view="pageBreakPreview" zoomScale="90" zoomScaleSheetLayoutView="90" zoomScalePageLayoutView="0" workbookViewId="0" topLeftCell="A1">
      <selection activeCell="I45" sqref="I45"/>
    </sheetView>
  </sheetViews>
  <sheetFormatPr defaultColWidth="9.140625" defaultRowHeight="12.75"/>
  <cols>
    <col min="1" max="1" width="37.7109375" style="0" customWidth="1"/>
    <col min="2" max="2" width="16.00390625" style="0" customWidth="1"/>
    <col min="3" max="4" width="15.28125" style="0" customWidth="1"/>
  </cols>
  <sheetData>
    <row r="1" spans="1:2" ht="12.75">
      <c r="A1" s="45"/>
      <c r="B1" s="45"/>
    </row>
    <row r="2" spans="1:4" s="472" customFormat="1" ht="12.75">
      <c r="A2" s="672" t="s">
        <v>868</v>
      </c>
      <c r="B2" s="673"/>
      <c r="C2" s="471"/>
      <c r="D2" s="471"/>
    </row>
    <row r="3" spans="1:4" s="1" customFormat="1" ht="12.75">
      <c r="A3" s="154"/>
      <c r="B3" s="154"/>
      <c r="C3"/>
      <c r="D3"/>
    </row>
    <row r="4" spans="1:4" s="1" customFormat="1" ht="12.75">
      <c r="A4" s="164" t="s">
        <v>387</v>
      </c>
      <c r="B4" s="164"/>
      <c r="C4"/>
      <c r="D4"/>
    </row>
    <row r="5" spans="1:4" s="1" customFormat="1" ht="20.25">
      <c r="A5" s="674"/>
      <c r="B5" s="675"/>
      <c r="C5" s="149" t="str">
        <f>'Dane podstawowe'!$B$7</f>
        <v>01.01.2018 - 31.12.2018</v>
      </c>
      <c r="D5" s="149" t="str">
        <f>'Dane podstawowe'!$B$12</f>
        <v>01.01.2017 - 31.12.2017</v>
      </c>
    </row>
    <row r="6" spans="1:4" s="1" customFormat="1" ht="9.75">
      <c r="A6" s="664" t="s">
        <v>118</v>
      </c>
      <c r="B6" s="665"/>
      <c r="C6" s="196">
        <v>1297103</v>
      </c>
      <c r="D6" s="196">
        <v>1045246</v>
      </c>
    </row>
    <row r="7" spans="1:4" s="1" customFormat="1" ht="9.75">
      <c r="A7" s="664" t="s">
        <v>119</v>
      </c>
      <c r="B7" s="665"/>
      <c r="C7" s="196">
        <v>0</v>
      </c>
      <c r="D7" s="196">
        <v>0</v>
      </c>
    </row>
    <row r="8" spans="1:8" s="1" customFormat="1" ht="9.75">
      <c r="A8" s="664" t="s">
        <v>120</v>
      </c>
      <c r="B8" s="665"/>
      <c r="C8" s="196">
        <v>0</v>
      </c>
      <c r="D8" s="196">
        <v>0</v>
      </c>
      <c r="H8" s="394"/>
    </row>
    <row r="9" spans="1:4" s="1" customFormat="1" ht="9.75">
      <c r="A9" s="664" t="s">
        <v>121</v>
      </c>
      <c r="B9" s="665"/>
      <c r="C9" s="196">
        <v>0</v>
      </c>
      <c r="D9" s="196">
        <v>0</v>
      </c>
    </row>
    <row r="10" spans="1:4" s="1" customFormat="1" ht="9.75">
      <c r="A10" s="664" t="s">
        <v>122</v>
      </c>
      <c r="B10" s="665"/>
      <c r="C10" s="196">
        <v>0</v>
      </c>
      <c r="D10" s="196">
        <v>0</v>
      </c>
    </row>
    <row r="11" spans="1:4" s="1" customFormat="1" ht="9.75">
      <c r="A11" s="664" t="s">
        <v>77</v>
      </c>
      <c r="B11" s="665"/>
      <c r="C11" s="196">
        <v>0</v>
      </c>
      <c r="D11" s="196">
        <v>0</v>
      </c>
    </row>
    <row r="12" spans="1:4" s="1" customFormat="1" ht="9.75">
      <c r="A12" s="642" t="s">
        <v>545</v>
      </c>
      <c r="B12" s="644"/>
      <c r="C12" s="104">
        <f>SUM(C6:C11)</f>
        <v>1297103</v>
      </c>
      <c r="D12" s="104">
        <f>SUM(D6:D11)</f>
        <v>1045246</v>
      </c>
    </row>
    <row r="13" spans="1:4" s="1" customFormat="1" ht="9.75">
      <c r="A13" s="572"/>
      <c r="B13" s="572"/>
      <c r="C13" s="568"/>
      <c r="D13" s="568"/>
    </row>
    <row r="14" spans="1:4" s="1" customFormat="1" ht="9.75">
      <c r="A14" s="572"/>
      <c r="B14" s="572"/>
      <c r="C14" s="568"/>
      <c r="D14" s="568"/>
    </row>
    <row r="15" spans="1:4" s="1" customFormat="1" ht="12.75">
      <c r="A15" s="676" t="s">
        <v>683</v>
      </c>
      <c r="B15" s="677"/>
      <c r="C15"/>
      <c r="D15"/>
    </row>
    <row r="16" spans="1:4" s="1" customFormat="1" ht="20.25">
      <c r="A16" s="674"/>
      <c r="B16" s="675"/>
      <c r="C16" s="149" t="str">
        <f>'Dane podstawowe'!$B$7</f>
        <v>01.01.2018 - 31.12.2018</v>
      </c>
      <c r="D16" s="149" t="str">
        <f>'Dane podstawowe'!$B$12</f>
        <v>01.01.2017 - 31.12.2017</v>
      </c>
    </row>
    <row r="17" spans="1:4" s="1" customFormat="1" ht="9.75">
      <c r="A17" s="664" t="s">
        <v>118</v>
      </c>
      <c r="B17" s="665"/>
      <c r="C17" s="196">
        <v>72499</v>
      </c>
      <c r="D17" s="196">
        <v>230648</v>
      </c>
    </row>
    <row r="18" spans="1:4" s="1" customFormat="1" ht="9.75">
      <c r="A18" s="664" t="s">
        <v>119</v>
      </c>
      <c r="B18" s="665"/>
      <c r="C18" s="196">
        <v>0</v>
      </c>
      <c r="D18" s="196">
        <v>0</v>
      </c>
    </row>
    <row r="19" spans="1:4" s="1" customFormat="1" ht="9.75">
      <c r="A19" s="664" t="s">
        <v>120</v>
      </c>
      <c r="B19" s="665"/>
      <c r="C19" s="196">
        <v>0</v>
      </c>
      <c r="D19" s="196">
        <v>0</v>
      </c>
    </row>
    <row r="20" spans="1:4" s="1" customFormat="1" ht="9.75">
      <c r="A20" s="664" t="s">
        <v>121</v>
      </c>
      <c r="B20" s="665"/>
      <c r="C20" s="196">
        <v>0</v>
      </c>
      <c r="D20" s="196">
        <v>0</v>
      </c>
    </row>
    <row r="21" spans="1:4" s="1" customFormat="1" ht="9.75">
      <c r="A21" s="664" t="s">
        <v>122</v>
      </c>
      <c r="B21" s="665"/>
      <c r="C21" s="196">
        <v>0</v>
      </c>
      <c r="D21" s="196">
        <v>0</v>
      </c>
    </row>
    <row r="22" spans="1:4" s="1" customFormat="1" ht="9.75">
      <c r="A22" s="664" t="s">
        <v>77</v>
      </c>
      <c r="B22" s="665"/>
      <c r="C22" s="196">
        <v>0</v>
      </c>
      <c r="D22" s="196">
        <v>0</v>
      </c>
    </row>
    <row r="23" spans="1:4" s="1" customFormat="1" ht="9.75">
      <c r="A23" s="642" t="s">
        <v>545</v>
      </c>
      <c r="B23" s="644"/>
      <c r="C23" s="104">
        <f>SUM(C17:C22)</f>
        <v>72499</v>
      </c>
      <c r="D23" s="104">
        <f>SUM(D17:D22)</f>
        <v>230648</v>
      </c>
    </row>
    <row r="24" spans="1:4" s="1" customFormat="1" ht="9.75">
      <c r="A24" s="572"/>
      <c r="B24" s="572"/>
      <c r="C24" s="568"/>
      <c r="D24" s="568"/>
    </row>
    <row r="25" spans="1:4" s="1" customFormat="1" ht="12.75">
      <c r="A25" s="164"/>
      <c r="B25" s="164"/>
      <c r="C25"/>
      <c r="D25"/>
    </row>
    <row r="26" spans="1:4" s="1" customFormat="1" ht="12.75">
      <c r="A26" s="195" t="s">
        <v>496</v>
      </c>
      <c r="B26" s="195"/>
      <c r="C26"/>
      <c r="D26"/>
    </row>
    <row r="27" spans="1:4" s="1" customFormat="1" ht="20.25">
      <c r="A27" s="668"/>
      <c r="B27" s="669"/>
      <c r="C27" s="608" t="s">
        <v>739</v>
      </c>
      <c r="D27" s="608" t="s">
        <v>694</v>
      </c>
    </row>
    <row r="28" spans="1:4" s="1" customFormat="1" ht="9.75" customHeight="1">
      <c r="A28" s="666" t="s">
        <v>118</v>
      </c>
      <c r="B28" s="667"/>
      <c r="C28" s="609">
        <v>780960</v>
      </c>
      <c r="D28" s="609">
        <v>514282</v>
      </c>
    </row>
    <row r="29" spans="1:4" s="1" customFormat="1" ht="9.75">
      <c r="A29" s="666" t="s">
        <v>119</v>
      </c>
      <c r="B29" s="667"/>
      <c r="C29" s="609">
        <v>0</v>
      </c>
      <c r="D29" s="609">
        <v>0</v>
      </c>
    </row>
    <row r="30" spans="1:4" s="1" customFormat="1" ht="9.75">
      <c r="A30" s="666" t="s">
        <v>120</v>
      </c>
      <c r="B30" s="667"/>
      <c r="C30" s="609">
        <v>0</v>
      </c>
      <c r="D30" s="609">
        <v>0</v>
      </c>
    </row>
    <row r="31" spans="1:4" s="1" customFormat="1" ht="9.75">
      <c r="A31" s="666" t="s">
        <v>121</v>
      </c>
      <c r="B31" s="667"/>
      <c r="C31" s="609">
        <v>22608</v>
      </c>
      <c r="D31" s="609">
        <v>0</v>
      </c>
    </row>
    <row r="32" spans="1:4" s="1" customFormat="1" ht="9.75">
      <c r="A32" s="666" t="s">
        <v>122</v>
      </c>
      <c r="B32" s="667"/>
      <c r="C32" s="609">
        <v>0</v>
      </c>
      <c r="D32" s="609">
        <v>0</v>
      </c>
    </row>
    <row r="33" spans="1:4" s="1" customFormat="1" ht="9.75">
      <c r="A33" s="670" t="s">
        <v>545</v>
      </c>
      <c r="B33" s="671"/>
      <c r="C33" s="607">
        <v>803568</v>
      </c>
      <c r="D33" s="607">
        <v>514282</v>
      </c>
    </row>
    <row r="34" spans="1:4" s="1" customFormat="1" ht="12.75">
      <c r="A34" s="148"/>
      <c r="B34" s="148"/>
      <c r="C34"/>
      <c r="D34"/>
    </row>
    <row r="35" spans="1:3" s="1" customFormat="1" ht="9.75">
      <c r="A35" s="4"/>
      <c r="B35" s="4"/>
      <c r="C35" s="3"/>
    </row>
    <row r="36" spans="1:3" s="1" customFormat="1" ht="9.75">
      <c r="A36" s="4"/>
      <c r="B36" s="4"/>
      <c r="C36" s="3"/>
    </row>
    <row r="37" spans="1:3" s="1" customFormat="1" ht="9.75">
      <c r="A37" s="4"/>
      <c r="B37" s="4"/>
      <c r="C37" s="3"/>
    </row>
    <row r="38" spans="1:3" s="1" customFormat="1" ht="9.75">
      <c r="A38" s="4"/>
      <c r="B38" s="4"/>
      <c r="C38" s="3"/>
    </row>
    <row r="39" spans="1:3" s="1" customFormat="1" ht="9.75">
      <c r="A39" s="4"/>
      <c r="B39" s="4"/>
      <c r="C39" s="3"/>
    </row>
    <row r="40" spans="1:3" s="1" customFormat="1" ht="9.75">
      <c r="A40" s="4"/>
      <c r="B40" s="4"/>
      <c r="C40" s="3"/>
    </row>
    <row r="41" spans="1:3" s="1" customFormat="1" ht="9.75">
      <c r="A41" s="4"/>
      <c r="B41" s="4"/>
      <c r="C41" s="3"/>
    </row>
    <row r="42" spans="1:3" s="1" customFormat="1" ht="9.75">
      <c r="A42" s="4"/>
      <c r="B42" s="4"/>
      <c r="C42" s="3"/>
    </row>
    <row r="43" spans="1:3" s="1" customFormat="1" ht="9.75">
      <c r="A43" s="4"/>
      <c r="B43" s="4"/>
      <c r="C43" s="3"/>
    </row>
    <row r="44" spans="1:3" s="1" customFormat="1" ht="9.75">
      <c r="A44" s="4"/>
      <c r="B44" s="4"/>
      <c r="C44" s="3"/>
    </row>
    <row r="45" spans="1:3" s="1" customFormat="1" ht="9.75">
      <c r="A45" s="4"/>
      <c r="B45" s="4"/>
      <c r="C45" s="3"/>
    </row>
    <row r="46" spans="1:3" s="1" customFormat="1" ht="9.75">
      <c r="A46" s="4"/>
      <c r="B46" s="4"/>
      <c r="C46" s="3"/>
    </row>
    <row r="47" spans="1:3" s="1" customFormat="1" ht="9.75">
      <c r="A47" s="4"/>
      <c r="B47" s="4"/>
      <c r="C47" s="3"/>
    </row>
    <row r="48" spans="1:3" s="1" customFormat="1" ht="9.75">
      <c r="A48" s="4"/>
      <c r="B48" s="4"/>
      <c r="C48" s="3"/>
    </row>
    <row r="49" spans="1:3" s="1" customFormat="1" ht="9.75">
      <c r="A49" s="4"/>
      <c r="B49" s="4"/>
      <c r="C49" s="3"/>
    </row>
    <row r="50" spans="1:3" s="1" customFormat="1" ht="9.75">
      <c r="A50" s="4"/>
      <c r="B50" s="4"/>
      <c r="C50" s="3"/>
    </row>
    <row r="51" spans="1:3" s="1" customFormat="1" ht="9.75">
      <c r="A51" s="4"/>
      <c r="B51" s="4"/>
      <c r="C51" s="3"/>
    </row>
    <row r="52" spans="1:3" s="1" customFormat="1" ht="9.75">
      <c r="A52" s="4"/>
      <c r="B52" s="4"/>
      <c r="C52" s="3"/>
    </row>
    <row r="53" spans="1:3" s="1" customFormat="1" ht="9.75">
      <c r="A53" s="4"/>
      <c r="B53" s="4"/>
      <c r="C53" s="3"/>
    </row>
    <row r="54" spans="1:3" s="1" customFormat="1" ht="9.75">
      <c r="A54" s="4"/>
      <c r="B54" s="4"/>
      <c r="C54" s="3"/>
    </row>
    <row r="55" spans="1:3" s="1" customFormat="1" ht="9.75">
      <c r="A55" s="4"/>
      <c r="B55" s="4"/>
      <c r="C55" s="3"/>
    </row>
    <row r="56" spans="1:3" s="1" customFormat="1" ht="9.75">
      <c r="A56" s="4"/>
      <c r="B56" s="4"/>
      <c r="C56" s="3"/>
    </row>
    <row r="57" spans="1:3" s="1" customFormat="1" ht="9.75">
      <c r="A57" s="4"/>
      <c r="B57" s="4"/>
      <c r="C57" s="3"/>
    </row>
    <row r="58" spans="1:3" s="1" customFormat="1" ht="9.75">
      <c r="A58" s="4"/>
      <c r="B58" s="4"/>
      <c r="C58" s="3"/>
    </row>
    <row r="59" spans="1:3" s="1" customFormat="1" ht="9.75">
      <c r="A59" s="4"/>
      <c r="B59" s="4"/>
      <c r="C59" s="3"/>
    </row>
    <row r="60" spans="1:3" s="1" customFormat="1" ht="9.75">
      <c r="A60" s="4"/>
      <c r="B60" s="4"/>
      <c r="C60" s="3"/>
    </row>
  </sheetData>
  <sheetProtection/>
  <mergeCells count="25">
    <mergeCell ref="A19:B19"/>
    <mergeCell ref="A20:B20"/>
    <mergeCell ref="A21:B21"/>
    <mergeCell ref="A28:B28"/>
    <mergeCell ref="A16:B16"/>
    <mergeCell ref="A30:B30"/>
    <mergeCell ref="A23:B23"/>
    <mergeCell ref="A22:B22"/>
    <mergeCell ref="A29:B29"/>
    <mergeCell ref="A8:B8"/>
    <mergeCell ref="A9:B9"/>
    <mergeCell ref="A2:B2"/>
    <mergeCell ref="A5:B5"/>
    <mergeCell ref="A6:B6"/>
    <mergeCell ref="A7:B7"/>
    <mergeCell ref="A10:B10"/>
    <mergeCell ref="A12:B12"/>
    <mergeCell ref="A31:B31"/>
    <mergeCell ref="A27:B27"/>
    <mergeCell ref="A32:B32"/>
    <mergeCell ref="A33:B33"/>
    <mergeCell ref="A11:B11"/>
    <mergeCell ref="A15:B15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1"/>
  <sheetViews>
    <sheetView showGridLines="0" view="pageBreakPreview" zoomScale="90" zoomScaleSheetLayoutView="90" zoomScalePageLayoutView="0" workbookViewId="0" topLeftCell="A1">
      <selection activeCell="J26" sqref="J26"/>
    </sheetView>
  </sheetViews>
  <sheetFormatPr defaultColWidth="9.28125" defaultRowHeight="12.75"/>
  <cols>
    <col min="1" max="1" width="55.28125" style="52" customWidth="1"/>
    <col min="2" max="3" width="18.28125" style="52" bestFit="1" customWidth="1"/>
    <col min="4" max="16384" width="9.28125" style="52" customWidth="1"/>
  </cols>
  <sheetData>
    <row r="1" ht="12.75">
      <c r="A1" s="74"/>
    </row>
    <row r="2" spans="1:3" s="58" customFormat="1" ht="12.75">
      <c r="A2" s="473" t="s">
        <v>869</v>
      </c>
      <c r="B2" s="469"/>
      <c r="C2" s="469"/>
    </row>
    <row r="3" spans="1:3" ht="12.75">
      <c r="A3" s="53"/>
      <c r="B3" s="2"/>
      <c r="C3" s="2"/>
    </row>
    <row r="4" spans="1:3" ht="12.75">
      <c r="A4" s="71" t="s">
        <v>73</v>
      </c>
      <c r="B4" s="2"/>
      <c r="C4" s="2"/>
    </row>
    <row r="5" spans="1:3" ht="12.75">
      <c r="A5" s="2"/>
      <c r="B5" s="630"/>
      <c r="C5" s="630"/>
    </row>
    <row r="6" spans="1:3" ht="24" customHeight="1">
      <c r="A6" s="133" t="s">
        <v>381</v>
      </c>
      <c r="B6" s="95" t="str">
        <f>'Dane podstawowe'!$B$7</f>
        <v>01.01.2018 - 31.12.2018</v>
      </c>
      <c r="C6" s="95" t="str">
        <f>'Dane podstawowe'!B12</f>
        <v>01.01.2017 - 31.12.2017</v>
      </c>
    </row>
    <row r="7" spans="1:3" ht="12.75">
      <c r="A7" s="55" t="s">
        <v>209</v>
      </c>
      <c r="B7" s="199">
        <v>21</v>
      </c>
      <c r="C7" s="199">
        <v>17</v>
      </c>
    </row>
    <row r="8" spans="1:3" ht="12.75">
      <c r="A8" s="55" t="s">
        <v>661</v>
      </c>
      <c r="B8" s="199">
        <v>21</v>
      </c>
      <c r="C8" s="199">
        <v>15</v>
      </c>
    </row>
    <row r="9" spans="1:3" ht="12.75">
      <c r="A9" s="55" t="s">
        <v>210</v>
      </c>
      <c r="B9" s="199">
        <v>7</v>
      </c>
      <c r="C9" s="199">
        <v>8</v>
      </c>
    </row>
    <row r="10" spans="1:3" ht="12.75">
      <c r="A10" s="55" t="s">
        <v>662</v>
      </c>
      <c r="B10" s="199">
        <v>26</v>
      </c>
      <c r="C10" s="199">
        <v>23</v>
      </c>
    </row>
    <row r="11" spans="1:3" ht="12.75" hidden="1">
      <c r="A11" s="55"/>
      <c r="B11" s="605"/>
      <c r="C11" s="113"/>
    </row>
    <row r="12" spans="1:3" ht="12.75">
      <c r="A12" s="76" t="s">
        <v>389</v>
      </c>
      <c r="B12" s="123">
        <f>SUM(B7:B11)</f>
        <v>75</v>
      </c>
      <c r="C12" s="123">
        <f>SUM(C7:C11)</f>
        <v>63</v>
      </c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71" t="s">
        <v>388</v>
      </c>
      <c r="B15" s="2"/>
      <c r="C15" s="2"/>
    </row>
    <row r="16" spans="1:3" ht="12.75">
      <c r="A16" s="2"/>
      <c r="B16" s="2"/>
      <c r="C16" s="2"/>
    </row>
    <row r="17" spans="1:3" ht="21.75" customHeight="1">
      <c r="A17" s="133" t="s">
        <v>381</v>
      </c>
      <c r="B17" s="150" t="str">
        <f>B6</f>
        <v>01.01.2018 - 31.12.2018</v>
      </c>
      <c r="C17" s="95" t="str">
        <f>C6</f>
        <v>01.01.2017 - 31.12.2017</v>
      </c>
    </row>
    <row r="18" spans="1:3" ht="12.75">
      <c r="A18" s="130" t="s">
        <v>71</v>
      </c>
      <c r="B18" s="581">
        <v>19</v>
      </c>
      <c r="C18" s="581">
        <v>38</v>
      </c>
    </row>
    <row r="19" spans="1:3" ht="12.75">
      <c r="A19" s="130" t="s">
        <v>72</v>
      </c>
      <c r="B19" s="581">
        <v>31</v>
      </c>
      <c r="C19" s="581">
        <v>19</v>
      </c>
    </row>
    <row r="20" spans="1:3" ht="12.75">
      <c r="A20" s="77" t="s">
        <v>389</v>
      </c>
      <c r="B20" s="162">
        <f>B18-B19</f>
        <v>-12</v>
      </c>
      <c r="C20" s="162">
        <f>C18-C19</f>
        <v>19</v>
      </c>
    </row>
    <row r="21" spans="1:3" ht="12.75">
      <c r="A21" s="2"/>
      <c r="B21" s="386"/>
      <c r="C21" s="386"/>
    </row>
  </sheetData>
  <sheetProtection/>
  <mergeCells count="1">
    <mergeCell ref="B5:C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"/>
  <sheetViews>
    <sheetView showGridLines="0" view="pageBreakPreview" zoomScale="90" zoomScaleSheetLayoutView="90" zoomScalePageLayoutView="0" workbookViewId="0" topLeftCell="A1">
      <selection activeCell="M24" sqref="M24"/>
    </sheetView>
  </sheetViews>
  <sheetFormatPr defaultColWidth="9.140625" defaultRowHeight="12.75"/>
  <cols>
    <col min="1" max="1" width="46.57421875" style="0" customWidth="1"/>
    <col min="2" max="2" width="13.7109375" style="0" customWidth="1"/>
    <col min="3" max="3" width="14.7109375" style="0" customWidth="1"/>
    <col min="5" max="5" width="11.57421875" style="0" customWidth="1"/>
  </cols>
  <sheetData>
    <row r="2" s="476" customFormat="1" ht="12.75">
      <c r="A2" s="467" t="s">
        <v>663</v>
      </c>
    </row>
    <row r="3" ht="12.75">
      <c r="A3" s="474"/>
    </row>
    <row r="4" spans="1:3" ht="20.25">
      <c r="A4" s="475" t="s">
        <v>196</v>
      </c>
      <c r="B4" s="95" t="str">
        <f>'Dane podstawowe'!$B$7</f>
        <v>01.01.2018 - 31.12.2018</v>
      </c>
      <c r="C4" s="95" t="str">
        <f>'Dane podstawowe'!$B$12</f>
        <v>01.01.2017 - 31.12.2017</v>
      </c>
    </row>
    <row r="5" spans="1:3" ht="20.25">
      <c r="A5" s="459" t="s">
        <v>197</v>
      </c>
      <c r="B5" s="199">
        <v>34000</v>
      </c>
      <c r="C5" s="199">
        <v>29000</v>
      </c>
    </row>
    <row r="6" spans="1:3" ht="30">
      <c r="A6" s="569" t="s">
        <v>671</v>
      </c>
      <c r="B6" s="199">
        <v>16000</v>
      </c>
      <c r="C6" s="199">
        <v>16000</v>
      </c>
    </row>
    <row r="7" spans="1:3" ht="12.75">
      <c r="A7" s="569" t="s">
        <v>672</v>
      </c>
      <c r="B7" s="199">
        <v>0</v>
      </c>
      <c r="C7" s="199">
        <v>0</v>
      </c>
    </row>
    <row r="8" spans="1:3" ht="24" customHeight="1">
      <c r="A8" s="569" t="s">
        <v>673</v>
      </c>
      <c r="B8" s="199">
        <v>0</v>
      </c>
      <c r="C8" s="199">
        <v>0</v>
      </c>
    </row>
    <row r="9" spans="1:3" ht="12.75">
      <c r="A9" s="81" t="s">
        <v>42</v>
      </c>
      <c r="B9" s="123">
        <f>SUM(B5:B8)</f>
        <v>50000</v>
      </c>
      <c r="C9" s="123">
        <f>SUM(C5:C8)</f>
        <v>45000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71"/>
  <sheetViews>
    <sheetView showGridLines="0" view="pageBreakPreview" zoomScale="90" zoomScaleSheetLayoutView="90" zoomScalePageLayoutView="0" workbookViewId="0" topLeftCell="A1">
      <selection activeCell="M44" sqref="M44"/>
    </sheetView>
  </sheetViews>
  <sheetFormatPr defaultColWidth="9.28125" defaultRowHeight="12.75"/>
  <cols>
    <col min="1" max="1" width="56.28125" style="155" customWidth="1"/>
    <col min="2" max="3" width="13.7109375" style="155" customWidth="1"/>
    <col min="4" max="6" width="9.28125" style="155" customWidth="1"/>
    <col min="7" max="16384" width="9.28125" style="52" customWidth="1"/>
  </cols>
  <sheetData>
    <row r="1" spans="1:6" ht="12.75">
      <c r="A1" s="74"/>
      <c r="B1" s="52"/>
      <c r="C1" s="52"/>
      <c r="D1" s="52"/>
      <c r="E1" s="52"/>
      <c r="F1" s="52"/>
    </row>
    <row r="2" s="469" customFormat="1" ht="12.75">
      <c r="A2" s="468" t="s">
        <v>664</v>
      </c>
    </row>
    <row r="3" s="2" customFormat="1" ht="9.75"/>
    <row r="4" spans="1:9" s="2" customFormat="1" ht="9.75">
      <c r="A4" s="133" t="s">
        <v>381</v>
      </c>
      <c r="B4" s="593">
        <f>'Dane podstawowe'!$B$9</f>
        <v>43465</v>
      </c>
      <c r="C4" s="593">
        <f>'Dane podstawowe'!B14</f>
        <v>43100</v>
      </c>
      <c r="G4" s="124"/>
      <c r="H4" s="124"/>
      <c r="I4" s="124"/>
    </row>
    <row r="5" spans="1:9" s="48" customFormat="1" ht="9.75">
      <c r="A5" s="81" t="s">
        <v>434</v>
      </c>
      <c r="B5" s="158">
        <v>232378</v>
      </c>
      <c r="C5" s="158">
        <v>232378</v>
      </c>
      <c r="D5" s="50"/>
      <c r="E5" s="50"/>
      <c r="F5" s="50"/>
      <c r="G5" s="194"/>
      <c r="H5" s="194"/>
      <c r="I5" s="194"/>
    </row>
    <row r="6" spans="1:9" s="48" customFormat="1" ht="9.75">
      <c r="A6" s="459" t="s">
        <v>546</v>
      </c>
      <c r="B6" s="448">
        <v>807</v>
      </c>
      <c r="C6" s="448">
        <v>1954</v>
      </c>
      <c r="D6" s="50"/>
      <c r="E6" s="50"/>
      <c r="F6" s="50"/>
      <c r="G6" s="194"/>
      <c r="H6" s="194"/>
      <c r="I6" s="194"/>
    </row>
    <row r="7" spans="1:9" s="48" customFormat="1" ht="20.25">
      <c r="A7" s="459" t="s">
        <v>547</v>
      </c>
      <c r="B7" s="116">
        <v>0</v>
      </c>
      <c r="C7" s="116">
        <v>0</v>
      </c>
      <c r="D7" s="50"/>
      <c r="E7" s="50"/>
      <c r="F7" s="50"/>
      <c r="G7" s="194"/>
      <c r="H7" s="194"/>
      <c r="I7" s="194"/>
    </row>
    <row r="8" spans="1:9" s="48" customFormat="1" ht="20.25">
      <c r="A8" s="81" t="s">
        <v>472</v>
      </c>
      <c r="B8" s="158">
        <v>232378</v>
      </c>
      <c r="C8" s="158">
        <f>C5+C6+C7</f>
        <v>234332</v>
      </c>
      <c r="D8" s="50"/>
      <c r="E8" s="50"/>
      <c r="F8" s="50"/>
      <c r="G8" s="194"/>
      <c r="H8" s="194"/>
      <c r="I8" s="194"/>
    </row>
    <row r="9" spans="1:9" s="2" customFormat="1" ht="30" customHeight="1">
      <c r="A9" s="62"/>
      <c r="B9" s="211"/>
      <c r="C9" s="211"/>
      <c r="D9" s="179"/>
      <c r="E9" s="179"/>
      <c r="F9" s="179"/>
      <c r="G9" s="124"/>
      <c r="H9" s="124"/>
      <c r="I9" s="124"/>
    </row>
    <row r="10" spans="1:6" s="2" customFormat="1" ht="9.75">
      <c r="A10" s="133" t="s">
        <v>381</v>
      </c>
      <c r="B10" s="593">
        <f>'Dane podstawowe'!$B$9</f>
        <v>43465</v>
      </c>
      <c r="C10" s="593">
        <f>'Dane podstawowe'!B14</f>
        <v>43100</v>
      </c>
      <c r="D10" s="62"/>
      <c r="E10" s="62"/>
      <c r="F10" s="62"/>
    </row>
    <row r="11" spans="1:6" s="2" customFormat="1" ht="9.75">
      <c r="A11" s="81" t="s">
        <v>843</v>
      </c>
      <c r="B11" s="158">
        <f>B12+B13+B14</f>
        <v>754139</v>
      </c>
      <c r="C11" s="158">
        <f>C12+C13+C14</f>
        <v>455206</v>
      </c>
      <c r="D11" s="62"/>
      <c r="E11" s="62"/>
      <c r="F11" s="62"/>
    </row>
    <row r="12" spans="1:6" s="2" customFormat="1" ht="9.75">
      <c r="A12" s="459" t="s">
        <v>184</v>
      </c>
      <c r="B12" s="448">
        <v>196155</v>
      </c>
      <c r="C12" s="448">
        <v>293467</v>
      </c>
      <c r="D12" s="62"/>
      <c r="E12" s="62"/>
      <c r="F12" s="62"/>
    </row>
    <row r="13" spans="1:6" s="2" customFormat="1" ht="9.75">
      <c r="A13" s="459" t="s">
        <v>185</v>
      </c>
      <c r="B13" s="448">
        <v>557984</v>
      </c>
      <c r="C13" s="448">
        <v>161739</v>
      </c>
      <c r="D13" s="62"/>
      <c r="E13" s="62"/>
      <c r="F13" s="62"/>
    </row>
    <row r="14" spans="1:6" s="2" customFormat="1" ht="9.75">
      <c r="A14" s="459" t="s">
        <v>186</v>
      </c>
      <c r="B14" s="448">
        <v>0</v>
      </c>
      <c r="C14" s="448">
        <v>0</v>
      </c>
      <c r="D14" s="62"/>
      <c r="E14" s="62"/>
      <c r="F14" s="62"/>
    </row>
    <row r="15" spans="1:6" s="2" customFormat="1" ht="9.75">
      <c r="A15" s="459"/>
      <c r="B15" s="158"/>
      <c r="C15" s="158"/>
      <c r="D15" s="62"/>
      <c r="E15" s="62"/>
      <c r="F15" s="62"/>
    </row>
    <row r="16" spans="1:6" s="2" customFormat="1" ht="9.75">
      <c r="A16" s="81" t="s">
        <v>473</v>
      </c>
      <c r="B16" s="158">
        <f>SUM(B17:B25)</f>
        <v>-2974343</v>
      </c>
      <c r="C16" s="158">
        <f>SUM(C17:C25)</f>
        <v>-1449067</v>
      </c>
      <c r="D16" s="62"/>
      <c r="E16" s="62"/>
      <c r="F16" s="62"/>
    </row>
    <row r="17" spans="1:6" s="2" customFormat="1" ht="9.75">
      <c r="A17" s="459" t="s">
        <v>474</v>
      </c>
      <c r="B17" s="448">
        <v>0</v>
      </c>
      <c r="C17" s="448">
        <v>0</v>
      </c>
      <c r="D17" s="62"/>
      <c r="E17" s="62"/>
      <c r="F17" s="62"/>
    </row>
    <row r="18" spans="1:6" s="2" customFormat="1" ht="9.75">
      <c r="A18" s="459" t="s">
        <v>475</v>
      </c>
      <c r="B18" s="448">
        <v>0</v>
      </c>
      <c r="C18" s="448">
        <v>0</v>
      </c>
      <c r="D18" s="62"/>
      <c r="E18" s="62"/>
      <c r="F18" s="62"/>
    </row>
    <row r="19" spans="1:6" s="2" customFormat="1" ht="9.75">
      <c r="A19" s="459" t="s">
        <v>665</v>
      </c>
      <c r="B19" s="448">
        <v>5143</v>
      </c>
      <c r="C19" s="448">
        <v>1827</v>
      </c>
      <c r="D19" s="62"/>
      <c r="E19" s="62"/>
      <c r="F19" s="62"/>
    </row>
    <row r="20" spans="1:6" s="2" customFormat="1" ht="9.75">
      <c r="A20" s="459" t="s">
        <v>476</v>
      </c>
      <c r="B20" s="448">
        <v>0</v>
      </c>
      <c r="C20" s="448">
        <v>0</v>
      </c>
      <c r="D20" s="62"/>
      <c r="E20" s="62"/>
      <c r="F20" s="62"/>
    </row>
    <row r="21" spans="1:6" s="2" customFormat="1" ht="9.75">
      <c r="A21" s="459" t="s">
        <v>477</v>
      </c>
      <c r="B21" s="448">
        <v>0</v>
      </c>
      <c r="C21" s="448">
        <v>0</v>
      </c>
      <c r="D21" s="62"/>
      <c r="E21" s="62"/>
      <c r="F21" s="62"/>
    </row>
    <row r="22" spans="1:6" s="2" customFormat="1" ht="9.75">
      <c r="A22" s="459" t="s">
        <v>712</v>
      </c>
      <c r="B22" s="448">
        <v>-3000000</v>
      </c>
      <c r="C22" s="448">
        <v>-1439950</v>
      </c>
      <c r="D22" s="62"/>
      <c r="E22" s="62"/>
      <c r="F22" s="62"/>
    </row>
    <row r="23" spans="1:6" s="2" customFormat="1" ht="9.75">
      <c r="A23" s="459" t="s">
        <v>478</v>
      </c>
      <c r="B23" s="448">
        <v>-16509</v>
      </c>
      <c r="C23" s="448">
        <v>-10944</v>
      </c>
      <c r="D23" s="62"/>
      <c r="E23" s="62"/>
      <c r="F23" s="62"/>
    </row>
    <row r="24" spans="1:6" s="2" customFormat="1" ht="9.75">
      <c r="A24" s="459" t="s">
        <v>479</v>
      </c>
      <c r="B24" s="448">
        <v>37023</v>
      </c>
      <c r="C24" s="470">
        <v>0</v>
      </c>
      <c r="D24" s="62"/>
      <c r="E24" s="62"/>
      <c r="F24" s="62"/>
    </row>
    <row r="25" spans="1:6" s="2" customFormat="1" ht="9.75">
      <c r="A25" s="459"/>
      <c r="B25" s="158"/>
      <c r="C25" s="158"/>
      <c r="D25" s="62"/>
      <c r="E25" s="62"/>
      <c r="F25" s="62"/>
    </row>
    <row r="26" spans="1:6" s="2" customFormat="1" ht="9.75">
      <c r="A26" s="81" t="s">
        <v>480</v>
      </c>
      <c r="B26" s="158">
        <f>SUM(B27:B34)</f>
        <v>345946</v>
      </c>
      <c r="C26" s="158">
        <f>SUM(C27:C34)</f>
        <v>0</v>
      </c>
      <c r="D26" s="62"/>
      <c r="E26" s="62"/>
      <c r="F26" s="62"/>
    </row>
    <row r="27" spans="1:6" s="2" customFormat="1" ht="9.75">
      <c r="A27" s="459" t="s">
        <v>844</v>
      </c>
      <c r="B27" s="448">
        <v>0</v>
      </c>
      <c r="C27" s="448">
        <v>0</v>
      </c>
      <c r="D27" s="62"/>
      <c r="E27" s="62"/>
      <c r="F27" s="62"/>
    </row>
    <row r="28" spans="1:6" s="2" customFormat="1" ht="9.75">
      <c r="A28" s="459" t="s">
        <v>181</v>
      </c>
      <c r="B28" s="448">
        <v>0</v>
      </c>
      <c r="C28" s="448">
        <v>0</v>
      </c>
      <c r="D28" s="62"/>
      <c r="E28" s="62"/>
      <c r="F28" s="62"/>
    </row>
    <row r="29" spans="1:6" s="2" customFormat="1" ht="9.75">
      <c r="A29" s="459" t="s">
        <v>182</v>
      </c>
      <c r="B29" s="448">
        <v>0</v>
      </c>
      <c r="C29" s="448">
        <v>0</v>
      </c>
      <c r="D29" s="62"/>
      <c r="E29" s="62"/>
      <c r="F29" s="62"/>
    </row>
    <row r="30" spans="1:6" s="2" customFormat="1" ht="9.75">
      <c r="A30" s="459" t="s">
        <v>183</v>
      </c>
      <c r="B30" s="448">
        <v>0</v>
      </c>
      <c r="C30" s="448">
        <v>0</v>
      </c>
      <c r="D30" s="62"/>
      <c r="E30" s="62"/>
      <c r="F30" s="62"/>
    </row>
    <row r="31" spans="1:6" s="2" customFormat="1" ht="9.75">
      <c r="A31" s="459" t="s">
        <v>481</v>
      </c>
      <c r="B31" s="448">
        <v>0</v>
      </c>
      <c r="C31" s="448">
        <v>0</v>
      </c>
      <c r="D31" s="62"/>
      <c r="E31" s="62"/>
      <c r="F31" s="62"/>
    </row>
    <row r="32" spans="1:6" s="2" customFormat="1" ht="9.75">
      <c r="A32" s="459" t="s">
        <v>713</v>
      </c>
      <c r="B32" s="448">
        <v>167063</v>
      </c>
      <c r="C32" s="448">
        <v>0</v>
      </c>
      <c r="D32" s="62"/>
      <c r="E32" s="62"/>
      <c r="F32" s="62"/>
    </row>
    <row r="33" spans="1:6" s="2" customFormat="1" ht="9.75">
      <c r="A33" s="459" t="s">
        <v>840</v>
      </c>
      <c r="B33" s="448">
        <v>178883</v>
      </c>
      <c r="C33" s="448">
        <v>0</v>
      </c>
      <c r="D33" s="62"/>
      <c r="E33" s="62"/>
      <c r="F33" s="62"/>
    </row>
    <row r="34" spans="1:6" s="2" customFormat="1" ht="9.75">
      <c r="A34" s="459"/>
      <c r="B34" s="158"/>
      <c r="C34" s="158"/>
      <c r="D34" s="62"/>
      <c r="E34" s="62"/>
      <c r="F34" s="62"/>
    </row>
    <row r="35" spans="1:6" s="2" customFormat="1" ht="9.75">
      <c r="A35" s="81" t="s">
        <v>262</v>
      </c>
      <c r="B35" s="158">
        <f>SUM(B36:B40)</f>
        <v>-7347</v>
      </c>
      <c r="C35" s="158">
        <f>SUM(C36:C40)</f>
        <v>186888</v>
      </c>
      <c r="D35" s="62"/>
      <c r="E35" s="62"/>
      <c r="F35" s="62"/>
    </row>
    <row r="36" spans="1:6" s="2" customFormat="1" ht="9.75">
      <c r="A36" s="459" t="s">
        <v>841</v>
      </c>
      <c r="B36" s="580">
        <v>129180</v>
      </c>
      <c r="C36" s="448">
        <f>217352-115530</f>
        <v>101822</v>
      </c>
      <c r="D36" s="62"/>
      <c r="E36" s="62"/>
      <c r="F36" s="62"/>
    </row>
    <row r="37" spans="1:6" s="2" customFormat="1" ht="9.75">
      <c r="A37" s="459" t="s">
        <v>190</v>
      </c>
      <c r="B37" s="448">
        <v>-136527</v>
      </c>
      <c r="C37" s="448">
        <v>85066</v>
      </c>
      <c r="D37" s="62"/>
      <c r="E37" s="62"/>
      <c r="F37" s="62"/>
    </row>
    <row r="38" spans="1:6" s="2" customFormat="1" ht="20.25">
      <c r="A38" s="459" t="s">
        <v>191</v>
      </c>
      <c r="B38" s="448">
        <v>0</v>
      </c>
      <c r="C38" s="448">
        <v>0</v>
      </c>
      <c r="D38" s="62"/>
      <c r="E38" s="62"/>
      <c r="F38" s="62"/>
    </row>
    <row r="39" spans="1:6" s="2" customFormat="1" ht="20.25">
      <c r="A39" s="459" t="s">
        <v>192</v>
      </c>
      <c r="B39" s="448">
        <v>0</v>
      </c>
      <c r="C39" s="448">
        <v>0</v>
      </c>
      <c r="D39" s="62"/>
      <c r="E39" s="62"/>
      <c r="F39" s="62"/>
    </row>
    <row r="40" spans="1:6" s="2" customFormat="1" ht="9.75">
      <c r="A40" s="81"/>
      <c r="B40" s="158"/>
      <c r="C40" s="158"/>
      <c r="D40" s="62"/>
      <c r="E40" s="62"/>
      <c r="F40" s="62"/>
    </row>
    <row r="41" spans="1:6" s="2" customFormat="1" ht="9.75">
      <c r="A41" s="81" t="s">
        <v>263</v>
      </c>
      <c r="B41" s="158">
        <f>SUM(B42:B45)</f>
        <v>0</v>
      </c>
      <c r="C41" s="158">
        <f>SUM(C42:C45)</f>
        <v>0</v>
      </c>
      <c r="D41" s="62"/>
      <c r="E41" s="62"/>
      <c r="F41" s="62"/>
    </row>
    <row r="42" spans="1:6" s="2" customFormat="1" ht="9.75">
      <c r="A42" s="459" t="s">
        <v>187</v>
      </c>
      <c r="B42" s="448">
        <v>0</v>
      </c>
      <c r="C42" s="448">
        <v>0</v>
      </c>
      <c r="D42" s="155"/>
      <c r="E42" s="155"/>
      <c r="F42" s="155"/>
    </row>
    <row r="43" spans="1:6" s="2" customFormat="1" ht="20.25">
      <c r="A43" s="459" t="s">
        <v>188</v>
      </c>
      <c r="B43" s="448">
        <v>0</v>
      </c>
      <c r="C43" s="448">
        <v>0</v>
      </c>
      <c r="D43" s="155"/>
      <c r="E43" s="155"/>
      <c r="F43" s="155"/>
    </row>
    <row r="44" spans="1:6" s="2" customFormat="1" ht="20.25">
      <c r="A44" s="459" t="s">
        <v>189</v>
      </c>
      <c r="B44" s="448">
        <v>0</v>
      </c>
      <c r="C44" s="448">
        <v>0</v>
      </c>
      <c r="D44" s="155"/>
      <c r="E44" s="155"/>
      <c r="F44" s="155"/>
    </row>
    <row r="45" spans="1:6" s="2" customFormat="1" ht="9.75">
      <c r="A45" s="459"/>
      <c r="B45" s="158"/>
      <c r="C45" s="158"/>
      <c r="D45" s="155"/>
      <c r="E45" s="155"/>
      <c r="F45" s="155"/>
    </row>
    <row r="46" spans="1:6" s="2" customFormat="1" ht="9.75">
      <c r="A46" s="81" t="s">
        <v>482</v>
      </c>
      <c r="B46" s="158">
        <f>SUM(B47:B55)</f>
        <v>-21192</v>
      </c>
      <c r="C46" s="158">
        <f>SUM(C47:C55)</f>
        <v>330134</v>
      </c>
      <c r="D46" s="155"/>
      <c r="E46" s="155"/>
      <c r="F46" s="155"/>
    </row>
    <row r="47" spans="1:6" s="2" customFormat="1" ht="9.75">
      <c r="A47" s="459" t="s">
        <v>483</v>
      </c>
      <c r="B47" s="448">
        <v>-45958</v>
      </c>
      <c r="C47" s="448">
        <v>329518</v>
      </c>
      <c r="D47" s="155"/>
      <c r="E47" s="155"/>
      <c r="F47" s="155"/>
    </row>
    <row r="48" spans="1:6" s="2" customFormat="1" ht="9.75">
      <c r="A48" s="459" t="s">
        <v>484</v>
      </c>
      <c r="B48" s="448">
        <v>3000</v>
      </c>
      <c r="C48" s="448">
        <v>616</v>
      </c>
      <c r="D48" s="155"/>
      <c r="E48" s="155"/>
      <c r="F48" s="155"/>
    </row>
    <row r="49" spans="1:6" s="2" customFormat="1" ht="9.75">
      <c r="A49" s="459" t="s">
        <v>485</v>
      </c>
      <c r="B49" s="448">
        <v>0</v>
      </c>
      <c r="C49" s="448">
        <v>0</v>
      </c>
      <c r="D49" s="155"/>
      <c r="E49" s="155"/>
      <c r="F49" s="155"/>
    </row>
    <row r="50" spans="1:6" s="2" customFormat="1" ht="9.75">
      <c r="A50" s="459" t="s">
        <v>172</v>
      </c>
      <c r="B50" s="448">
        <v>21766</v>
      </c>
      <c r="C50" s="448">
        <v>0</v>
      </c>
      <c r="D50" s="155"/>
      <c r="E50" s="155"/>
      <c r="F50" s="155"/>
    </row>
    <row r="51" spans="1:6" s="2" customFormat="1" ht="9.75">
      <c r="A51" s="459" t="s">
        <v>173</v>
      </c>
      <c r="B51" s="448">
        <v>0</v>
      </c>
      <c r="C51" s="448">
        <v>0</v>
      </c>
      <c r="D51" s="155"/>
      <c r="E51" s="155"/>
      <c r="F51" s="155"/>
    </row>
    <row r="52" spans="1:6" s="2" customFormat="1" ht="9.75">
      <c r="A52" s="459" t="s">
        <v>174</v>
      </c>
      <c r="B52" s="448">
        <v>0</v>
      </c>
      <c r="C52" s="448">
        <v>0</v>
      </c>
      <c r="D52" s="155"/>
      <c r="E52" s="155"/>
      <c r="F52" s="155"/>
    </row>
    <row r="53" spans="1:6" s="2" customFormat="1" ht="20.25">
      <c r="A53" s="459" t="s">
        <v>193</v>
      </c>
      <c r="B53" s="448">
        <v>0</v>
      </c>
      <c r="C53" s="448">
        <v>0</v>
      </c>
      <c r="D53" s="155"/>
      <c r="E53" s="155"/>
      <c r="F53" s="155"/>
    </row>
    <row r="54" spans="1:3" ht="20.25">
      <c r="A54" s="459" t="s">
        <v>194</v>
      </c>
      <c r="B54" s="448">
        <v>0</v>
      </c>
      <c r="C54" s="448">
        <v>0</v>
      </c>
    </row>
    <row r="55" spans="1:3" ht="12.75">
      <c r="A55" s="459"/>
      <c r="B55" s="158"/>
      <c r="C55" s="158"/>
    </row>
    <row r="56" spans="1:3" ht="20.25">
      <c r="A56" s="81" t="s">
        <v>201</v>
      </c>
      <c r="B56" s="158">
        <f>SUM(B57:B65)</f>
        <v>-338439</v>
      </c>
      <c r="C56" s="158">
        <f>SUM(C57:C65)</f>
        <v>663022</v>
      </c>
    </row>
    <row r="57" spans="1:3" ht="12.75">
      <c r="A57" s="459" t="s">
        <v>175</v>
      </c>
      <c r="B57" s="448">
        <f>4843885-3812248-68288</f>
        <v>963349</v>
      </c>
      <c r="C57" s="448">
        <v>667344</v>
      </c>
    </row>
    <row r="58" spans="1:3" ht="12.75">
      <c r="A58" s="459" t="s">
        <v>842</v>
      </c>
      <c r="B58" s="448">
        <v>-1380990</v>
      </c>
      <c r="C58" s="448">
        <v>-4322</v>
      </c>
    </row>
    <row r="59" spans="1:3" ht="12.75">
      <c r="A59" s="459" t="s">
        <v>176</v>
      </c>
      <c r="B59" s="448">
        <v>0</v>
      </c>
      <c r="C59" s="448">
        <v>0</v>
      </c>
    </row>
    <row r="60" spans="1:3" ht="12.75">
      <c r="A60" s="459" t="s">
        <v>177</v>
      </c>
      <c r="B60" s="448">
        <v>0</v>
      </c>
      <c r="C60" s="448">
        <v>0</v>
      </c>
    </row>
    <row r="61" spans="1:3" ht="12.75">
      <c r="A61" s="459" t="s">
        <v>178</v>
      </c>
      <c r="B61" s="448">
        <v>79202</v>
      </c>
      <c r="C61" s="448">
        <v>0</v>
      </c>
    </row>
    <row r="62" spans="1:3" ht="12.75">
      <c r="A62" s="459" t="s">
        <v>179</v>
      </c>
      <c r="B62" s="448">
        <v>0</v>
      </c>
      <c r="C62" s="448">
        <v>0</v>
      </c>
    </row>
    <row r="63" spans="1:3" ht="20.25">
      <c r="A63" s="459" t="s">
        <v>260</v>
      </c>
      <c r="B63" s="448">
        <v>0</v>
      </c>
      <c r="C63" s="448">
        <v>0</v>
      </c>
    </row>
    <row r="64" spans="1:3" ht="20.25">
      <c r="A64" s="459" t="s">
        <v>261</v>
      </c>
      <c r="B64" s="448">
        <v>0</v>
      </c>
      <c r="C64" s="448">
        <v>0</v>
      </c>
    </row>
    <row r="65" spans="1:3" ht="12.75">
      <c r="A65" s="459"/>
      <c r="B65" s="158"/>
      <c r="C65" s="158"/>
    </row>
    <row r="66" spans="1:3" ht="12.75">
      <c r="A66" s="81" t="s">
        <v>180</v>
      </c>
      <c r="B66" s="158">
        <f>SUM(B67:B71)</f>
        <v>-49097</v>
      </c>
      <c r="C66" s="158">
        <f>SUM(C67:C71)</f>
        <v>135160</v>
      </c>
    </row>
    <row r="67" spans="1:3" ht="12.75" hidden="1">
      <c r="A67" s="459" t="s">
        <v>666</v>
      </c>
      <c r="B67" s="448">
        <v>0</v>
      </c>
      <c r="C67" s="448">
        <v>0</v>
      </c>
    </row>
    <row r="68" spans="1:3" ht="12.75" hidden="1">
      <c r="A68" s="459" t="s">
        <v>693</v>
      </c>
      <c r="B68" s="448">
        <v>0</v>
      </c>
      <c r="C68" s="448">
        <v>0</v>
      </c>
    </row>
    <row r="69" spans="1:3" ht="12.75">
      <c r="A69" s="459" t="s">
        <v>840</v>
      </c>
      <c r="B69" s="448">
        <v>0</v>
      </c>
      <c r="C69" s="448">
        <v>127187</v>
      </c>
    </row>
    <row r="70" spans="1:3" ht="12.75">
      <c r="A70" s="459" t="s">
        <v>713</v>
      </c>
      <c r="B70" s="448"/>
      <c r="C70" s="448">
        <v>0</v>
      </c>
    </row>
    <row r="71" spans="1:3" ht="12.75">
      <c r="A71" s="75" t="s">
        <v>667</v>
      </c>
      <c r="B71" s="448">
        <v>-49097</v>
      </c>
      <c r="C71" s="448">
        <v>7973</v>
      </c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21"/>
  <sheetViews>
    <sheetView zoomScaleSheetLayoutView="100" zoomScalePageLayoutView="0" workbookViewId="0" topLeftCell="A1">
      <selection activeCell="H17" sqref="H17"/>
    </sheetView>
  </sheetViews>
  <sheetFormatPr defaultColWidth="9.28125" defaultRowHeight="12.75"/>
  <cols>
    <col min="1" max="1" width="5.00390625" style="20" customWidth="1"/>
    <col min="2" max="2" width="61.7109375" style="20" customWidth="1"/>
    <col min="3" max="3" width="10.00390625" style="20" hidden="1" customWidth="1"/>
    <col min="4" max="5" width="26.00390625" style="20" customWidth="1"/>
    <col min="6" max="6" width="9.28125" style="20" customWidth="1"/>
    <col min="7" max="7" width="12.28125" style="20" bestFit="1" customWidth="1"/>
    <col min="8" max="16384" width="9.28125" style="20" customWidth="1"/>
  </cols>
  <sheetData>
    <row r="1" spans="2:4" s="27" customFormat="1" ht="25.5" customHeight="1">
      <c r="B1" s="244"/>
      <c r="C1" s="244"/>
      <c r="D1" s="244"/>
    </row>
    <row r="2" spans="2:5" s="405" customFormat="1" ht="12.75">
      <c r="B2" s="235"/>
      <c r="C2" s="235" t="s">
        <v>294</v>
      </c>
      <c r="D2" s="235" t="str">
        <f>CONCATENATE("za okres ",'Dane podstawowe'!$B$7)</f>
        <v>za okres 01.01.2018 - 31.12.2018</v>
      </c>
      <c r="E2" s="235" t="str">
        <f>CONCATENATE("za okres ",'Dane podstawowe'!$B$12)</f>
        <v>za okres 01.01.2017 - 31.12.2017</v>
      </c>
    </row>
    <row r="3" spans="2:5" s="406" customFormat="1" ht="13.5">
      <c r="B3" s="229" t="s">
        <v>280</v>
      </c>
      <c r="C3" s="413"/>
      <c r="D3" s="413">
        <f>RZiS!E29</f>
        <v>1067371</v>
      </c>
      <c r="E3" s="413">
        <f>RZiS!F29</f>
        <v>173059</v>
      </c>
    </row>
    <row r="4" spans="2:8" s="406" customFormat="1" ht="13.5">
      <c r="B4" s="229" t="s">
        <v>601</v>
      </c>
      <c r="C4" s="413"/>
      <c r="D4" s="413">
        <f>SUM(D5:D13)</f>
        <v>0</v>
      </c>
      <c r="E4" s="413">
        <f>SUM(E5:E13)</f>
        <v>0</v>
      </c>
      <c r="G4" s="540"/>
      <c r="H4" s="540"/>
    </row>
    <row r="5" spans="2:8" s="44" customFormat="1" ht="13.5">
      <c r="B5" s="228" t="s">
        <v>834</v>
      </c>
      <c r="C5" s="413"/>
      <c r="D5" s="410">
        <v>0</v>
      </c>
      <c r="E5" s="410">
        <v>0</v>
      </c>
      <c r="G5" s="540"/>
      <c r="H5" s="540"/>
    </row>
    <row r="6" spans="2:8" s="44" customFormat="1" ht="13.5">
      <c r="B6" s="228" t="s">
        <v>596</v>
      </c>
      <c r="C6" s="413"/>
      <c r="D6" s="412">
        <v>0</v>
      </c>
      <c r="E6" s="412">
        <v>0</v>
      </c>
      <c r="G6" s="540"/>
      <c r="H6" s="540"/>
    </row>
    <row r="7" spans="2:8" s="405" customFormat="1" ht="20.25">
      <c r="B7" s="228" t="s">
        <v>597</v>
      </c>
      <c r="C7" s="410"/>
      <c r="D7" s="410">
        <v>0</v>
      </c>
      <c r="E7" s="410">
        <v>0</v>
      </c>
      <c r="G7" s="540"/>
      <c r="H7" s="540"/>
    </row>
    <row r="8" spans="2:8" s="405" customFormat="1" ht="12.75">
      <c r="B8" s="228" t="s">
        <v>835</v>
      </c>
      <c r="C8" s="413"/>
      <c r="D8" s="410">
        <v>0</v>
      </c>
      <c r="E8" s="410">
        <v>0</v>
      </c>
      <c r="G8" s="540"/>
      <c r="H8" s="540"/>
    </row>
    <row r="9" spans="2:8" s="405" customFormat="1" ht="20.25">
      <c r="B9" s="228" t="s">
        <v>708</v>
      </c>
      <c r="C9" s="413"/>
      <c r="D9" s="410">
        <v>0</v>
      </c>
      <c r="E9" s="410">
        <v>0</v>
      </c>
      <c r="G9" s="540"/>
      <c r="H9" s="540"/>
    </row>
    <row r="10" spans="2:8" s="44" customFormat="1" ht="20.25">
      <c r="B10" s="228" t="s">
        <v>594</v>
      </c>
      <c r="C10" s="413"/>
      <c r="D10" s="410">
        <v>0</v>
      </c>
      <c r="E10" s="410">
        <v>0</v>
      </c>
      <c r="G10" s="540"/>
      <c r="H10" s="540"/>
    </row>
    <row r="11" spans="2:8" s="44" customFormat="1" ht="20.25">
      <c r="B11" s="228" t="s">
        <v>595</v>
      </c>
      <c r="C11" s="413"/>
      <c r="D11" s="410">
        <v>0</v>
      </c>
      <c r="E11" s="410">
        <v>0</v>
      </c>
      <c r="G11" s="540"/>
      <c r="H11" s="540"/>
    </row>
    <row r="12" spans="2:8" s="44" customFormat="1" ht="13.5">
      <c r="B12" s="228" t="s">
        <v>593</v>
      </c>
      <c r="C12" s="413"/>
      <c r="D12" s="410">
        <v>0</v>
      </c>
      <c r="E12" s="410">
        <v>0</v>
      </c>
      <c r="G12" s="540"/>
      <c r="H12" s="540"/>
    </row>
    <row r="13" spans="2:8" s="405" customFormat="1" ht="12.75">
      <c r="B13" s="228" t="s">
        <v>0</v>
      </c>
      <c r="C13" s="412"/>
      <c r="D13" s="412">
        <v>0</v>
      </c>
      <c r="E13" s="412">
        <v>0</v>
      </c>
      <c r="G13" s="540"/>
      <c r="H13" s="540"/>
    </row>
    <row r="14" spans="2:5" s="44" customFormat="1" ht="13.5" hidden="1">
      <c r="B14" s="228" t="s">
        <v>602</v>
      </c>
      <c r="C14" s="412"/>
      <c r="D14" s="412">
        <f>SUM(D15:D16)</f>
        <v>0</v>
      </c>
      <c r="E14" s="412">
        <f>SUM(E15:E16)</f>
        <v>0</v>
      </c>
    </row>
    <row r="15" spans="2:5" s="407" customFormat="1" ht="12.75" hidden="1">
      <c r="B15" s="228" t="s">
        <v>598</v>
      </c>
      <c r="C15" s="412"/>
      <c r="D15" s="412">
        <v>0</v>
      </c>
      <c r="E15" s="412">
        <v>0</v>
      </c>
    </row>
    <row r="16" spans="2:5" s="27" customFormat="1" ht="16.5" customHeight="1" hidden="1">
      <c r="B16" s="228" t="s">
        <v>593</v>
      </c>
      <c r="C16" s="412"/>
      <c r="D16" s="412">
        <v>0</v>
      </c>
      <c r="E16" s="412">
        <v>0</v>
      </c>
    </row>
    <row r="17" spans="2:5" s="27" customFormat="1" ht="16.5" customHeight="1">
      <c r="B17" s="229" t="s">
        <v>1</v>
      </c>
      <c r="C17" s="414"/>
      <c r="D17" s="543">
        <f>D14+D4+D3</f>
        <v>1067371</v>
      </c>
      <c r="E17" s="543">
        <f>E14+E4+E3</f>
        <v>173059</v>
      </c>
    </row>
    <row r="18" spans="2:5" s="27" customFormat="1" ht="16.5" customHeight="1">
      <c r="B18" s="25"/>
      <c r="C18" s="30"/>
      <c r="D18" s="26"/>
      <c r="E18" s="26"/>
    </row>
    <row r="19" spans="2:5" s="27" customFormat="1" ht="16.5" customHeight="1">
      <c r="B19" s="33"/>
      <c r="C19" s="32"/>
      <c r="D19" s="26"/>
      <c r="E19" s="26"/>
    </row>
    <row r="20" spans="2:5" s="27" customFormat="1" ht="16.5" customHeight="1">
      <c r="B20" s="35"/>
      <c r="C20" s="218"/>
      <c r="D20" s="26"/>
      <c r="E20" s="26"/>
    </row>
    <row r="21" spans="2:5" s="27" customFormat="1" ht="16.5" customHeight="1">
      <c r="B21" s="35"/>
      <c r="C21" s="218"/>
      <c r="D21" s="26"/>
      <c r="E21" s="26"/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E34"/>
  <sheetViews>
    <sheetView showGridLines="0" view="pageBreakPreview" zoomScaleNormal="75" zoomScaleSheetLayoutView="100" zoomScalePageLayoutView="0" workbookViewId="0" topLeftCell="A1">
      <selection activeCell="D7" sqref="D7"/>
    </sheetView>
  </sheetViews>
  <sheetFormatPr defaultColWidth="9.28125" defaultRowHeight="12.75"/>
  <cols>
    <col min="1" max="1" width="3.57421875" style="20" customWidth="1"/>
    <col min="2" max="2" width="59.00390625" style="20" customWidth="1"/>
    <col min="3" max="3" width="9.28125" style="20" customWidth="1"/>
    <col min="4" max="5" width="26.00390625" style="20" customWidth="1"/>
    <col min="6" max="16384" width="9.28125" style="20" customWidth="1"/>
  </cols>
  <sheetData>
    <row r="1" spans="2:4" s="27" customFormat="1" ht="25.5" customHeight="1">
      <c r="B1" s="244" t="s">
        <v>417</v>
      </c>
      <c r="C1" s="244"/>
      <c r="D1" s="244"/>
    </row>
    <row r="2" spans="2:5" s="21" customFormat="1" ht="12.75">
      <c r="B2" s="235"/>
      <c r="C2" s="235" t="s">
        <v>418</v>
      </c>
      <c r="D2" s="592" t="s">
        <v>740</v>
      </c>
      <c r="E2" s="592" t="s">
        <v>741</v>
      </c>
    </row>
    <row r="3" spans="2:5" s="51" customFormat="1" ht="13.5">
      <c r="B3" s="241" t="s">
        <v>32</v>
      </c>
      <c r="C3" s="236"/>
      <c r="D3" s="409">
        <f>SUM(D4:D12)</f>
        <v>18103858</v>
      </c>
      <c r="E3" s="409">
        <f>SUM(E4:E12)</f>
        <v>11230189</v>
      </c>
    </row>
    <row r="4" spans="2:5" s="23" customFormat="1" ht="13.5">
      <c r="B4" s="228" t="s">
        <v>415</v>
      </c>
      <c r="C4" s="236" t="s">
        <v>648</v>
      </c>
      <c r="D4" s="412">
        <v>823514</v>
      </c>
      <c r="E4" s="412">
        <v>469058</v>
      </c>
    </row>
    <row r="5" spans="2:5" s="24" customFormat="1" ht="12.75">
      <c r="B5" s="228" t="s">
        <v>414</v>
      </c>
      <c r="C5" s="236" t="s">
        <v>651</v>
      </c>
      <c r="D5" s="410">
        <v>8241905</v>
      </c>
      <c r="E5" s="410">
        <v>8044712</v>
      </c>
    </row>
    <row r="6" spans="2:5" s="24" customFormat="1" ht="12.75">
      <c r="B6" s="228" t="s">
        <v>276</v>
      </c>
      <c r="C6" s="236"/>
      <c r="D6" s="410">
        <v>0</v>
      </c>
      <c r="E6" s="410">
        <v>0</v>
      </c>
    </row>
    <row r="7" spans="2:5" s="24" customFormat="1" ht="12.75">
      <c r="B7" s="228" t="s">
        <v>490</v>
      </c>
      <c r="C7" s="236" t="s">
        <v>653</v>
      </c>
      <c r="D7" s="410">
        <f>7366677+814400</f>
        <v>8181077</v>
      </c>
      <c r="E7" s="410">
        <v>2302417</v>
      </c>
    </row>
    <row r="8" spans="2:5" s="24" customFormat="1" ht="12.75" hidden="1">
      <c r="B8" s="228" t="s">
        <v>213</v>
      </c>
      <c r="C8" s="236"/>
      <c r="D8" s="410">
        <v>0</v>
      </c>
      <c r="E8" s="410">
        <v>0</v>
      </c>
    </row>
    <row r="9" spans="2:5" s="23" customFormat="1" ht="13.5">
      <c r="B9" s="228" t="s">
        <v>710</v>
      </c>
      <c r="C9" s="236" t="s">
        <v>688</v>
      </c>
      <c r="D9" s="412">
        <v>628205</v>
      </c>
      <c r="E9" s="412">
        <v>204521</v>
      </c>
    </row>
    <row r="10" spans="2:5" s="23" customFormat="1" ht="13.5">
      <c r="B10" s="228" t="s">
        <v>41</v>
      </c>
      <c r="C10" s="236"/>
      <c r="D10" s="412">
        <v>42442</v>
      </c>
      <c r="E10" s="412">
        <v>45442</v>
      </c>
    </row>
    <row r="11" spans="2:5" s="24" customFormat="1" ht="12.75">
      <c r="B11" s="228" t="s">
        <v>215</v>
      </c>
      <c r="C11" s="236" t="s">
        <v>551</v>
      </c>
      <c r="D11" s="410">
        <v>186715</v>
      </c>
      <c r="E11" s="410">
        <v>164039</v>
      </c>
    </row>
    <row r="12" spans="2:5" s="24" customFormat="1" ht="12.75">
      <c r="B12" s="228" t="s">
        <v>491</v>
      </c>
      <c r="C12" s="236"/>
      <c r="D12" s="410">
        <v>0</v>
      </c>
      <c r="E12" s="410">
        <v>0</v>
      </c>
    </row>
    <row r="13" spans="2:5" s="24" customFormat="1" ht="12.75">
      <c r="B13" s="431" t="s">
        <v>33</v>
      </c>
      <c r="C13" s="236"/>
      <c r="D13" s="409">
        <f>SUM(D14:D22)</f>
        <v>2735575</v>
      </c>
      <c r="E13" s="409">
        <f>SUM(E14:E22)</f>
        <v>2753211</v>
      </c>
    </row>
    <row r="14" spans="2:5" s="22" customFormat="1" ht="13.5">
      <c r="B14" s="228" t="s">
        <v>360</v>
      </c>
      <c r="C14" s="236"/>
      <c r="D14" s="412">
        <v>0</v>
      </c>
      <c r="E14" s="412">
        <v>0</v>
      </c>
    </row>
    <row r="15" spans="2:5" s="24" customFormat="1" ht="12.75">
      <c r="B15" s="228" t="s">
        <v>216</v>
      </c>
      <c r="C15" s="236" t="s">
        <v>669</v>
      </c>
      <c r="D15" s="410">
        <f>530487+1334461</f>
        <v>1864948</v>
      </c>
      <c r="E15" s="410">
        <v>1770705</v>
      </c>
    </row>
    <row r="16" spans="2:5" s="24" customFormat="1" ht="12.75">
      <c r="B16" s="228" t="s">
        <v>289</v>
      </c>
      <c r="C16" s="236"/>
      <c r="D16" s="410">
        <v>0</v>
      </c>
      <c r="E16" s="410">
        <v>0</v>
      </c>
    </row>
    <row r="17" spans="2:5" s="24" customFormat="1" ht="12.75">
      <c r="B17" s="228" t="s">
        <v>492</v>
      </c>
      <c r="C17" s="236" t="s">
        <v>687</v>
      </c>
      <c r="D17" s="410">
        <f>4906+5000</f>
        <v>9906</v>
      </c>
      <c r="E17" s="410">
        <v>58191</v>
      </c>
    </row>
    <row r="18" spans="2:5" s="24" customFormat="1" ht="12.75" hidden="1">
      <c r="B18" s="228" t="s">
        <v>213</v>
      </c>
      <c r="C18" s="236"/>
      <c r="D18" s="410">
        <v>0</v>
      </c>
      <c r="E18" s="410">
        <v>0</v>
      </c>
    </row>
    <row r="19" spans="2:5" s="22" customFormat="1" ht="13.5" hidden="1">
      <c r="B19" s="228" t="s">
        <v>217</v>
      </c>
      <c r="C19" s="236"/>
      <c r="D19" s="412">
        <v>0</v>
      </c>
      <c r="E19" s="412">
        <v>0</v>
      </c>
    </row>
    <row r="20" spans="2:5" s="24" customFormat="1" ht="12.75">
      <c r="B20" s="228" t="s">
        <v>711</v>
      </c>
      <c r="C20" s="236" t="s">
        <v>688</v>
      </c>
      <c r="D20" s="412">
        <v>612578</v>
      </c>
      <c r="E20" s="412">
        <v>639190</v>
      </c>
    </row>
    <row r="21" spans="2:5" s="24" customFormat="1" ht="12.75">
      <c r="B21" s="228" t="s">
        <v>214</v>
      </c>
      <c r="C21" s="236" t="s">
        <v>507</v>
      </c>
      <c r="D21" s="410">
        <v>49448</v>
      </c>
      <c r="E21" s="410">
        <v>52747</v>
      </c>
    </row>
    <row r="22" spans="2:5" s="24" customFormat="1" ht="12.75">
      <c r="B22" s="228" t="s">
        <v>218</v>
      </c>
      <c r="C22" s="236" t="s">
        <v>689</v>
      </c>
      <c r="D22" s="410">
        <v>198695</v>
      </c>
      <c r="E22" s="410">
        <v>232378</v>
      </c>
    </row>
    <row r="23" spans="2:5" s="24" customFormat="1" ht="12.75" hidden="1">
      <c r="B23" s="470" t="s">
        <v>290</v>
      </c>
      <c r="C23" s="236"/>
      <c r="D23" s="412">
        <v>0</v>
      </c>
      <c r="E23" s="412">
        <v>0</v>
      </c>
    </row>
    <row r="24" spans="2:5" s="21" customFormat="1" ht="12.75">
      <c r="B24" s="241" t="s">
        <v>219</v>
      </c>
      <c r="C24" s="243"/>
      <c r="D24" s="409">
        <f>SUM(D3,D13)</f>
        <v>20839433</v>
      </c>
      <c r="E24" s="409">
        <f>SUM(E3,E13)</f>
        <v>13983400</v>
      </c>
    </row>
    <row r="25" spans="2:5" s="27" customFormat="1" ht="11.25" customHeight="1">
      <c r="B25" s="25"/>
      <c r="C25" s="30"/>
      <c r="D25" s="29"/>
      <c r="E25" s="26"/>
    </row>
    <row r="26" spans="2:5" s="27" customFormat="1" ht="11.25" customHeight="1">
      <c r="B26" s="25"/>
      <c r="C26" s="30"/>
      <c r="D26" s="29"/>
      <c r="E26" s="26"/>
    </row>
    <row r="27" spans="2:5" s="27" customFormat="1" ht="11.25" customHeight="1">
      <c r="B27" s="25"/>
      <c r="C27" s="30"/>
      <c r="D27" s="31"/>
      <c r="E27" s="26"/>
    </row>
    <row r="28" spans="2:5" s="27" customFormat="1" ht="16.5" customHeight="1">
      <c r="B28" s="25"/>
      <c r="C28" s="30"/>
      <c r="D28" s="26"/>
      <c r="E28" s="26"/>
    </row>
    <row r="29" spans="2:5" s="27" customFormat="1" ht="16.5" customHeight="1">
      <c r="B29" s="25"/>
      <c r="C29" s="30"/>
      <c r="D29" s="26"/>
      <c r="E29" s="26"/>
    </row>
    <row r="30" spans="2:5" s="27" customFormat="1" ht="16.5" customHeight="1">
      <c r="B30" s="33"/>
      <c r="C30" s="32"/>
      <c r="D30" s="26"/>
      <c r="E30" s="26"/>
    </row>
    <row r="31" spans="2:5" s="27" customFormat="1" ht="16.5" customHeight="1">
      <c r="B31" s="25"/>
      <c r="C31" s="30"/>
      <c r="D31" s="26"/>
      <c r="E31" s="26"/>
    </row>
    <row r="32" spans="2:5" s="27" customFormat="1" ht="16.5" customHeight="1">
      <c r="B32" s="33"/>
      <c r="C32" s="32"/>
      <c r="D32" s="26"/>
      <c r="E32" s="26"/>
    </row>
    <row r="33" spans="2:5" s="27" customFormat="1" ht="16.5" customHeight="1">
      <c r="B33" s="35"/>
      <c r="C33" s="218"/>
      <c r="D33" s="26"/>
      <c r="E33" s="26"/>
    </row>
    <row r="34" spans="2:5" s="27" customFormat="1" ht="16.5" customHeight="1">
      <c r="B34" s="35"/>
      <c r="C34" s="218"/>
      <c r="D34" s="26"/>
      <c r="E34" s="26"/>
    </row>
  </sheetData>
  <sheetProtection/>
  <hyperlinks>
    <hyperlink ref="B1" location="'Spis treści'!A1" display="'Spis treści'!A1"/>
  </hyperlinks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E33"/>
  <sheetViews>
    <sheetView showGridLines="0" view="pageBreakPreview" zoomScale="90" zoomScaleNormal="75" zoomScaleSheetLayoutView="90" zoomScalePageLayoutView="0" workbookViewId="0" topLeftCell="A7">
      <selection activeCell="D21" sqref="D21"/>
    </sheetView>
  </sheetViews>
  <sheetFormatPr defaultColWidth="9.28125" defaultRowHeight="12.75"/>
  <cols>
    <col min="1" max="1" width="3.28125" style="36" customWidth="1"/>
    <col min="2" max="2" width="59.00390625" style="36" customWidth="1"/>
    <col min="3" max="3" width="7.57421875" style="36" customWidth="1"/>
    <col min="4" max="5" width="16.7109375" style="36" bestFit="1" customWidth="1"/>
    <col min="6" max="16384" width="9.28125" style="36" customWidth="1"/>
  </cols>
  <sheetData>
    <row r="1" s="42" customFormat="1" ht="16.5" customHeight="1">
      <c r="B1" s="244" t="s">
        <v>417</v>
      </c>
    </row>
    <row r="2" spans="2:5" s="37" customFormat="1" ht="24.75" customHeight="1">
      <c r="B2" s="235" t="s">
        <v>101</v>
      </c>
      <c r="C2" s="235" t="s">
        <v>294</v>
      </c>
      <c r="D2" s="592" t="s">
        <v>740</v>
      </c>
      <c r="E2" s="592" t="s">
        <v>741</v>
      </c>
    </row>
    <row r="3" spans="2:5" s="40" customFormat="1" ht="13.5">
      <c r="B3" s="431" t="s">
        <v>204</v>
      </c>
      <c r="C3" s="245"/>
      <c r="D3" s="409">
        <f>SUM(D4:D9)</f>
        <v>12167390</v>
      </c>
      <c r="E3" s="409">
        <f>SUM(E4:E9)</f>
        <v>11113793</v>
      </c>
    </row>
    <row r="4" spans="2:5" s="39" customFormat="1" ht="13.5">
      <c r="B4" s="228" t="s">
        <v>227</v>
      </c>
      <c r="C4" s="236" t="s">
        <v>670</v>
      </c>
      <c r="D4" s="412">
        <v>229155</v>
      </c>
      <c r="E4" s="412">
        <v>229155</v>
      </c>
    </row>
    <row r="5" spans="2:5" s="39" customFormat="1" ht="13.5" hidden="1">
      <c r="B5" s="228" t="s">
        <v>599</v>
      </c>
      <c r="C5" s="236"/>
      <c r="D5" s="410">
        <v>0</v>
      </c>
      <c r="E5" s="410">
        <v>0</v>
      </c>
    </row>
    <row r="6" spans="2:5" s="38" customFormat="1" ht="12.75">
      <c r="B6" s="228" t="s">
        <v>493</v>
      </c>
      <c r="C6" s="236"/>
      <c r="D6" s="410">
        <v>0</v>
      </c>
      <c r="E6" s="410">
        <v>0</v>
      </c>
    </row>
    <row r="7" spans="2:5" s="38" customFormat="1" ht="12.75">
      <c r="B7" s="228" t="s">
        <v>228</v>
      </c>
      <c r="C7" s="236" t="s">
        <v>508</v>
      </c>
      <c r="D7" s="410">
        <v>10871933</v>
      </c>
      <c r="E7" s="410">
        <v>10698874</v>
      </c>
    </row>
    <row r="8" spans="2:5" s="39" customFormat="1" ht="13.5">
      <c r="B8" s="228" t="s">
        <v>494</v>
      </c>
      <c r="C8" s="236" t="s">
        <v>600</v>
      </c>
      <c r="D8" s="412">
        <v>-1069</v>
      </c>
      <c r="E8" s="412">
        <v>12705</v>
      </c>
    </row>
    <row r="9" spans="2:5" s="38" customFormat="1" ht="12.75">
      <c r="B9" s="228" t="s">
        <v>495</v>
      </c>
      <c r="C9" s="236"/>
      <c r="D9" s="410">
        <v>1067371</v>
      </c>
      <c r="E9" s="410">
        <v>173059</v>
      </c>
    </row>
    <row r="10" spans="2:5" s="38" customFormat="1" ht="12.75">
      <c r="B10" s="431" t="s">
        <v>292</v>
      </c>
      <c r="C10" s="245"/>
      <c r="D10" s="409">
        <f>SUM(D11:D17)</f>
        <v>682588</v>
      </c>
      <c r="E10" s="409">
        <f>SUM(E11:E17)</f>
        <v>432355</v>
      </c>
    </row>
    <row r="11" spans="2:5" s="40" customFormat="1" ht="13.5">
      <c r="B11" s="228" t="s">
        <v>416</v>
      </c>
      <c r="C11" s="236"/>
      <c r="D11" s="412">
        <v>0</v>
      </c>
      <c r="E11" s="412">
        <v>0</v>
      </c>
    </row>
    <row r="12" spans="2:5" ht="12.75">
      <c r="B12" s="228" t="s">
        <v>304</v>
      </c>
      <c r="C12" s="236" t="s">
        <v>657</v>
      </c>
      <c r="D12" s="410">
        <v>126053</v>
      </c>
      <c r="E12" s="410">
        <v>0</v>
      </c>
    </row>
    <row r="13" spans="2:5" s="38" customFormat="1" ht="12.75">
      <c r="B13" s="228" t="s">
        <v>568</v>
      </c>
      <c r="C13" s="236"/>
      <c r="D13" s="410">
        <v>0</v>
      </c>
      <c r="E13" s="410">
        <v>0</v>
      </c>
    </row>
    <row r="14" spans="2:5" s="38" customFormat="1" ht="12.75">
      <c r="B14" s="228" t="s">
        <v>306</v>
      </c>
      <c r="C14" s="236" t="s">
        <v>551</v>
      </c>
      <c r="D14" s="410">
        <v>556535</v>
      </c>
      <c r="E14" s="410">
        <v>432355</v>
      </c>
    </row>
    <row r="15" spans="2:5" s="38" customFormat="1" ht="12.75">
      <c r="B15" s="228" t="s">
        <v>560</v>
      </c>
      <c r="C15" s="236"/>
      <c r="D15" s="412">
        <v>0</v>
      </c>
      <c r="E15" s="412">
        <v>0</v>
      </c>
    </row>
    <row r="16" spans="2:5" s="40" customFormat="1" ht="13.5">
      <c r="B16" s="228" t="s">
        <v>229</v>
      </c>
      <c r="C16" s="236"/>
      <c r="D16" s="412">
        <v>0</v>
      </c>
      <c r="E16" s="412">
        <v>0</v>
      </c>
    </row>
    <row r="17" spans="2:5" s="40" customFormat="1" ht="13.5">
      <c r="B17" s="228" t="s">
        <v>367</v>
      </c>
      <c r="C17" s="236"/>
      <c r="D17" s="412">
        <v>0</v>
      </c>
      <c r="E17" s="412">
        <v>0</v>
      </c>
    </row>
    <row r="18" spans="2:5" s="38" customFormat="1" ht="12.75">
      <c r="B18" s="152" t="s">
        <v>378</v>
      </c>
      <c r="C18" s="245"/>
      <c r="D18" s="409">
        <f>SUM(D19:D27)</f>
        <v>7989455</v>
      </c>
      <c r="E18" s="409">
        <f>SUM(E19:E27)</f>
        <v>2437252</v>
      </c>
    </row>
    <row r="19" spans="2:5" s="38" customFormat="1" ht="12.75">
      <c r="B19" s="228" t="s">
        <v>416</v>
      </c>
      <c r="C19" s="236" t="s">
        <v>656</v>
      </c>
      <c r="D19" s="412">
        <v>1380990</v>
      </c>
      <c r="E19" s="412">
        <v>501630</v>
      </c>
    </row>
    <row r="20" spans="2:5" s="38" customFormat="1" ht="12.75">
      <c r="B20" s="228" t="s">
        <v>304</v>
      </c>
      <c r="C20" s="236" t="s">
        <v>657</v>
      </c>
      <c r="D20" s="412">
        <v>76693</v>
      </c>
      <c r="E20" s="412">
        <v>2453</v>
      </c>
    </row>
    <row r="21" spans="2:5" s="38" customFormat="1" ht="12.75">
      <c r="B21" s="228" t="s">
        <v>230</v>
      </c>
      <c r="C21" s="236" t="s">
        <v>658</v>
      </c>
      <c r="D21" s="410">
        <f>320148+216862</f>
        <v>537010</v>
      </c>
      <c r="E21" s="410">
        <v>918176</v>
      </c>
    </row>
    <row r="22" spans="2:5" s="38" customFormat="1" ht="12.75">
      <c r="B22" s="360" t="s">
        <v>293</v>
      </c>
      <c r="C22" s="236"/>
      <c r="D22" s="410">
        <v>0</v>
      </c>
      <c r="E22" s="410">
        <v>0</v>
      </c>
    </row>
    <row r="23" spans="2:5" s="38" customFormat="1" ht="12.75">
      <c r="B23" s="228" t="s">
        <v>355</v>
      </c>
      <c r="C23" s="236" t="s">
        <v>200</v>
      </c>
      <c r="D23" s="410">
        <f>396312+275294+4312894+814400</f>
        <v>5798900</v>
      </c>
      <c r="E23" s="410">
        <v>762774</v>
      </c>
    </row>
    <row r="24" spans="2:5" s="38" customFormat="1" ht="12.75">
      <c r="B24" s="228" t="s">
        <v>560</v>
      </c>
      <c r="C24" s="236" t="s">
        <v>659</v>
      </c>
      <c r="D24" s="410">
        <v>62265</v>
      </c>
      <c r="E24" s="410">
        <v>36819</v>
      </c>
    </row>
    <row r="25" spans="2:5" s="38" customFormat="1" ht="12.75">
      <c r="B25" s="228" t="s">
        <v>229</v>
      </c>
      <c r="C25" s="236" t="s">
        <v>660</v>
      </c>
      <c r="D25" s="410">
        <v>49873</v>
      </c>
      <c r="E25" s="410">
        <v>186400</v>
      </c>
    </row>
    <row r="26" spans="2:5" s="38" customFormat="1" ht="12.75">
      <c r="B26" s="228" t="s">
        <v>367</v>
      </c>
      <c r="C26" s="236" t="s">
        <v>291</v>
      </c>
      <c r="D26" s="410">
        <v>34000</v>
      </c>
      <c r="E26" s="410">
        <v>29000</v>
      </c>
    </row>
    <row r="27" spans="2:5" s="38" customFormat="1" ht="12.75">
      <c r="B27" s="120" t="s">
        <v>769</v>
      </c>
      <c r="C27" s="236"/>
      <c r="D27" s="412">
        <v>49724</v>
      </c>
      <c r="E27" s="412">
        <v>0</v>
      </c>
    </row>
    <row r="28" spans="2:5" s="37" customFormat="1" ht="12.75">
      <c r="B28" s="241" t="s">
        <v>231</v>
      </c>
      <c r="C28" s="245"/>
      <c r="D28" s="409">
        <f>SUM(D3,D10,D18)</f>
        <v>20839433</v>
      </c>
      <c r="E28" s="409">
        <f>SUM(E3,E10,E18)</f>
        <v>13983400</v>
      </c>
    </row>
    <row r="29" spans="2:5" s="42" customFormat="1" ht="13.5">
      <c r="B29" s="33"/>
      <c r="C29" s="32"/>
      <c r="D29" s="26"/>
      <c r="E29" s="26"/>
    </row>
    <row r="30" spans="2:5" s="42" customFormat="1" ht="12.75">
      <c r="B30" s="25"/>
      <c r="C30" s="30"/>
      <c r="D30" s="26"/>
      <c r="E30" s="26"/>
    </row>
    <row r="31" spans="2:5" s="42" customFormat="1" ht="13.5">
      <c r="B31" s="33"/>
      <c r="C31" s="32"/>
      <c r="D31" s="26"/>
      <c r="E31" s="26"/>
    </row>
    <row r="32" spans="2:5" s="42" customFormat="1" ht="12.75">
      <c r="B32" s="35"/>
      <c r="C32" s="218"/>
      <c r="D32" s="26"/>
      <c r="E32" s="26"/>
    </row>
    <row r="33" spans="2:5" s="42" customFormat="1" ht="12.75">
      <c r="B33" s="35"/>
      <c r="C33" s="218"/>
      <c r="D33" s="26"/>
      <c r="E33" s="26"/>
    </row>
  </sheetData>
  <sheetProtection/>
  <hyperlinks>
    <hyperlink ref="B1" location="'Spis treści'!A1" display="'Spis treści'!A1"/>
  </hyperlinks>
  <printOptions/>
  <pageMargins left="0.7" right="0.7" top="0.75" bottom="0.75" header="0.3" footer="0.3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K29"/>
  <sheetViews>
    <sheetView showGridLines="0" view="pageBreakPreview" zoomScale="90" zoomScaleSheetLayoutView="90" workbookViewId="0" topLeftCell="A6">
      <selection activeCell="B2" sqref="B2:I29"/>
    </sheetView>
  </sheetViews>
  <sheetFormatPr defaultColWidth="9.28125" defaultRowHeight="12.75"/>
  <cols>
    <col min="1" max="1" width="4.57421875" style="34" customWidth="1"/>
    <col min="2" max="2" width="57.28125" style="34" bestFit="1" customWidth="1"/>
    <col min="3" max="3" width="15.00390625" style="34" bestFit="1" customWidth="1"/>
    <col min="4" max="4" width="18.28125" style="34" customWidth="1"/>
    <col min="5" max="5" width="13.57421875" style="34" customWidth="1"/>
    <col min="6" max="6" width="15.421875" style="34" hidden="1" customWidth="1"/>
    <col min="7" max="7" width="17.421875" style="34" bestFit="1" customWidth="1"/>
    <col min="8" max="8" width="15.28125" style="34" bestFit="1" customWidth="1"/>
    <col min="9" max="9" width="20.7109375" style="34" bestFit="1" customWidth="1"/>
    <col min="10" max="16384" width="9.28125" style="34" customWidth="1"/>
  </cols>
  <sheetData>
    <row r="1" s="250" customFormat="1" ht="17.25" customHeight="1">
      <c r="B1" s="244" t="s">
        <v>417</v>
      </c>
    </row>
    <row r="2" spans="2:9" s="28" customFormat="1" ht="20.25">
      <c r="B2" s="95"/>
      <c r="C2" s="246" t="s">
        <v>227</v>
      </c>
      <c r="D2" s="247" t="s">
        <v>678</v>
      </c>
      <c r="E2" s="247" t="s">
        <v>228</v>
      </c>
      <c r="F2" s="247" t="s">
        <v>622</v>
      </c>
      <c r="G2" s="247" t="s">
        <v>494</v>
      </c>
      <c r="H2" s="247" t="s">
        <v>495</v>
      </c>
      <c r="I2" s="247" t="s">
        <v>257</v>
      </c>
    </row>
    <row r="3" spans="2:9" ht="15">
      <c r="B3" s="621" t="s">
        <v>762</v>
      </c>
      <c r="C3" s="622"/>
      <c r="D3" s="622"/>
      <c r="E3" s="622"/>
      <c r="F3" s="622"/>
      <c r="G3" s="622"/>
      <c r="H3" s="622"/>
      <c r="I3" s="622"/>
    </row>
    <row r="4" spans="2:9" ht="15">
      <c r="B4" s="248" t="s">
        <v>764</v>
      </c>
      <c r="C4" s="415">
        <f>C29</f>
        <v>229155</v>
      </c>
      <c r="D4" s="415">
        <f>D29</f>
        <v>4341065</v>
      </c>
      <c r="E4" s="415">
        <f>E29</f>
        <v>6357809</v>
      </c>
      <c r="F4" s="415">
        <f>F29</f>
        <v>0</v>
      </c>
      <c r="G4" s="415">
        <f>G29+H29</f>
        <v>185764</v>
      </c>
      <c r="H4" s="415">
        <v>0</v>
      </c>
      <c r="I4" s="415">
        <f>SUM(C4:H4)</f>
        <v>11113793</v>
      </c>
    </row>
    <row r="5" spans="2:9" s="44" customFormat="1" ht="13.5">
      <c r="B5" s="249" t="s">
        <v>829</v>
      </c>
      <c r="C5" s="412">
        <v>0</v>
      </c>
      <c r="D5" s="412">
        <v>0</v>
      </c>
      <c r="E5" s="412">
        <v>0</v>
      </c>
      <c r="F5" s="412">
        <v>0</v>
      </c>
      <c r="G5" s="416">
        <v>-13774</v>
      </c>
      <c r="H5" s="416">
        <v>0</v>
      </c>
      <c r="I5" s="417">
        <f aca="true" t="shared" si="0" ref="I5:I14">SUM(C5:H5)</f>
        <v>-13774</v>
      </c>
    </row>
    <row r="6" spans="2:9" s="44" customFormat="1" ht="13.5">
      <c r="B6" s="249" t="s">
        <v>604</v>
      </c>
      <c r="C6" s="412">
        <v>0</v>
      </c>
      <c r="D6" s="412">
        <v>0</v>
      </c>
      <c r="E6" s="412">
        <v>0</v>
      </c>
      <c r="F6" s="412">
        <v>0</v>
      </c>
      <c r="G6" s="416">
        <v>0</v>
      </c>
      <c r="H6" s="416">
        <v>0</v>
      </c>
      <c r="I6" s="417">
        <f t="shared" si="0"/>
        <v>0</v>
      </c>
    </row>
    <row r="7" spans="2:9" ht="15">
      <c r="B7" s="248" t="s">
        <v>296</v>
      </c>
      <c r="C7" s="415">
        <f aca="true" t="shared" si="1" ref="C7:H7">SUM(C4:C6)</f>
        <v>229155</v>
      </c>
      <c r="D7" s="415">
        <f t="shared" si="1"/>
        <v>4341065</v>
      </c>
      <c r="E7" s="415">
        <f t="shared" si="1"/>
        <v>6357809</v>
      </c>
      <c r="F7" s="415">
        <f t="shared" si="1"/>
        <v>0</v>
      </c>
      <c r="G7" s="415">
        <f t="shared" si="1"/>
        <v>171990</v>
      </c>
      <c r="H7" s="415">
        <f t="shared" si="1"/>
        <v>0</v>
      </c>
      <c r="I7" s="415">
        <f t="shared" si="0"/>
        <v>11100019</v>
      </c>
    </row>
    <row r="8" spans="2:9" s="44" customFormat="1" ht="13.5">
      <c r="B8" s="249" t="s">
        <v>307</v>
      </c>
      <c r="C8" s="412">
        <v>0</v>
      </c>
      <c r="D8" s="412">
        <v>0</v>
      </c>
      <c r="E8" s="412">
        <v>0</v>
      </c>
      <c r="F8" s="412">
        <v>0</v>
      </c>
      <c r="G8" s="416">
        <v>0</v>
      </c>
      <c r="H8" s="416">
        <v>0</v>
      </c>
      <c r="I8" s="417">
        <f t="shared" si="0"/>
        <v>0</v>
      </c>
    </row>
    <row r="9" spans="2:9" ht="15">
      <c r="B9" s="249" t="s">
        <v>258</v>
      </c>
      <c r="C9" s="418">
        <v>0</v>
      </c>
      <c r="D9" s="418">
        <v>0</v>
      </c>
      <c r="E9" s="418">
        <v>0</v>
      </c>
      <c r="F9" s="418">
        <v>0</v>
      </c>
      <c r="G9" s="419">
        <v>0</v>
      </c>
      <c r="H9" s="419">
        <v>0</v>
      </c>
      <c r="I9" s="417">
        <f t="shared" si="0"/>
        <v>0</v>
      </c>
    </row>
    <row r="10" spans="2:9" s="44" customFormat="1" ht="13.5">
      <c r="B10" s="491" t="s">
        <v>102</v>
      </c>
      <c r="C10" s="418">
        <v>0</v>
      </c>
      <c r="D10" s="412">
        <v>173059</v>
      </c>
      <c r="E10" s="412">
        <v>0</v>
      </c>
      <c r="F10" s="412">
        <v>0</v>
      </c>
      <c r="G10" s="416">
        <v>-173059</v>
      </c>
      <c r="H10" s="417">
        <v>0</v>
      </c>
      <c r="I10" s="417">
        <f>SUM(C10:H10)</f>
        <v>0</v>
      </c>
    </row>
    <row r="11" spans="2:11" s="44" customFormat="1" ht="13.5">
      <c r="B11" s="249" t="s">
        <v>308</v>
      </c>
      <c r="C11" s="418">
        <v>0</v>
      </c>
      <c r="D11" s="416">
        <v>0</v>
      </c>
      <c r="E11" s="416">
        <v>0</v>
      </c>
      <c r="F11" s="416">
        <v>0</v>
      </c>
      <c r="G11" s="416">
        <v>0</v>
      </c>
      <c r="H11" s="417">
        <v>0</v>
      </c>
      <c r="I11" s="417">
        <f>SUM(C11:H11)</f>
        <v>0</v>
      </c>
      <c r="J11" s="488"/>
      <c r="K11" s="489"/>
    </row>
    <row r="12" spans="2:11" s="44" customFormat="1" ht="13.5">
      <c r="B12" s="491" t="s">
        <v>621</v>
      </c>
      <c r="C12" s="417">
        <v>0</v>
      </c>
      <c r="D12" s="417">
        <v>0</v>
      </c>
      <c r="E12" s="417">
        <v>0</v>
      </c>
      <c r="F12" s="417">
        <v>0</v>
      </c>
      <c r="G12" s="419">
        <v>0</v>
      </c>
      <c r="H12" s="419">
        <v>0</v>
      </c>
      <c r="I12" s="417">
        <f>SUM(C12:H12)</f>
        <v>0</v>
      </c>
      <c r="J12" s="488"/>
      <c r="K12" s="489"/>
    </row>
    <row r="13" spans="2:9" ht="15">
      <c r="B13" s="491" t="s">
        <v>768</v>
      </c>
      <c r="C13" s="417">
        <v>0</v>
      </c>
      <c r="D13" s="417">
        <v>0</v>
      </c>
      <c r="E13" s="417">
        <v>0</v>
      </c>
      <c r="F13" s="417">
        <v>0</v>
      </c>
      <c r="G13" s="419">
        <v>0</v>
      </c>
      <c r="H13" s="417">
        <v>1067371</v>
      </c>
      <c r="I13" s="417">
        <f t="shared" si="0"/>
        <v>1067371</v>
      </c>
    </row>
    <row r="14" spans="2:9" ht="15">
      <c r="B14" s="249" t="s">
        <v>731</v>
      </c>
      <c r="C14" s="417">
        <v>0</v>
      </c>
      <c r="D14" s="417">
        <v>0</v>
      </c>
      <c r="E14" s="417">
        <v>0</v>
      </c>
      <c r="F14" s="417">
        <v>0</v>
      </c>
      <c r="G14" s="419">
        <v>0</v>
      </c>
      <c r="H14" s="419">
        <v>0</v>
      </c>
      <c r="I14" s="417">
        <f t="shared" si="0"/>
        <v>0</v>
      </c>
    </row>
    <row r="15" spans="2:9" ht="15">
      <c r="B15" s="248" t="s">
        <v>765</v>
      </c>
      <c r="C15" s="415">
        <f aca="true" t="shared" si="2" ref="C15:H15">SUM(C7:C14)</f>
        <v>229155</v>
      </c>
      <c r="D15" s="415">
        <f t="shared" si="2"/>
        <v>4514124</v>
      </c>
      <c r="E15" s="415">
        <f t="shared" si="2"/>
        <v>6357809</v>
      </c>
      <c r="F15" s="415">
        <f t="shared" si="2"/>
        <v>0</v>
      </c>
      <c r="G15" s="415">
        <f t="shared" si="2"/>
        <v>-1069</v>
      </c>
      <c r="H15" s="415">
        <f t="shared" si="2"/>
        <v>1067371</v>
      </c>
      <c r="I15" s="415">
        <f>SUM(C15:H15)</f>
        <v>12167390</v>
      </c>
    </row>
    <row r="16" spans="2:9" ht="15">
      <c r="B16" s="622" t="s">
        <v>763</v>
      </c>
      <c r="C16" s="622"/>
      <c r="D16" s="622"/>
      <c r="E16" s="622"/>
      <c r="F16" s="622"/>
      <c r="G16" s="622"/>
      <c r="H16" s="622"/>
      <c r="I16" s="622"/>
    </row>
    <row r="17" spans="2:9" ht="15">
      <c r="B17" s="248" t="s">
        <v>766</v>
      </c>
      <c r="C17" s="415">
        <v>229155</v>
      </c>
      <c r="D17" s="415">
        <v>2902140</v>
      </c>
      <c r="E17" s="415">
        <v>6357809</v>
      </c>
      <c r="F17" s="415">
        <v>0</v>
      </c>
      <c r="G17" s="415">
        <v>1451630</v>
      </c>
      <c r="H17" s="415">
        <v>0</v>
      </c>
      <c r="I17" s="415">
        <f>SUM(C17:H17)</f>
        <v>10940734</v>
      </c>
    </row>
    <row r="18" spans="2:9" s="44" customFormat="1" ht="13.5">
      <c r="B18" s="249" t="s">
        <v>295</v>
      </c>
      <c r="C18" s="412">
        <v>0</v>
      </c>
      <c r="D18" s="412">
        <v>0</v>
      </c>
      <c r="E18" s="412">
        <v>0</v>
      </c>
      <c r="F18" s="412">
        <v>0</v>
      </c>
      <c r="G18" s="416">
        <v>0</v>
      </c>
      <c r="H18" s="416">
        <v>0</v>
      </c>
      <c r="I18" s="417">
        <f aca="true" t="shared" si="3" ref="I18:I29">SUM(C18:H18)</f>
        <v>0</v>
      </c>
    </row>
    <row r="19" spans="2:9" s="44" customFormat="1" ht="13.5">
      <c r="B19" s="249" t="s">
        <v>604</v>
      </c>
      <c r="C19" s="412">
        <v>0</v>
      </c>
      <c r="D19" s="412">
        <v>0</v>
      </c>
      <c r="E19" s="412">
        <v>0</v>
      </c>
      <c r="F19" s="412">
        <v>0</v>
      </c>
      <c r="G19" s="416">
        <v>0</v>
      </c>
      <c r="H19" s="416">
        <v>0</v>
      </c>
      <c r="I19" s="417">
        <f t="shared" si="3"/>
        <v>0</v>
      </c>
    </row>
    <row r="20" spans="2:9" ht="15">
      <c r="B20" s="248" t="s">
        <v>296</v>
      </c>
      <c r="C20" s="415">
        <f aca="true" t="shared" si="4" ref="C20:H20">SUM(C17:C19)</f>
        <v>229155</v>
      </c>
      <c r="D20" s="415">
        <f t="shared" si="4"/>
        <v>2902140</v>
      </c>
      <c r="E20" s="415">
        <f t="shared" si="4"/>
        <v>6357809</v>
      </c>
      <c r="F20" s="415">
        <f t="shared" si="4"/>
        <v>0</v>
      </c>
      <c r="G20" s="415">
        <f t="shared" si="4"/>
        <v>1451630</v>
      </c>
      <c r="H20" s="415">
        <f t="shared" si="4"/>
        <v>0</v>
      </c>
      <c r="I20" s="415">
        <f t="shared" si="3"/>
        <v>10940734</v>
      </c>
    </row>
    <row r="21" spans="2:9" s="44" customFormat="1" ht="13.5">
      <c r="B21" s="249" t="s">
        <v>307</v>
      </c>
      <c r="C21" s="412">
        <v>0</v>
      </c>
      <c r="D21" s="412">
        <v>0</v>
      </c>
      <c r="E21" s="412">
        <v>0</v>
      </c>
      <c r="F21" s="412">
        <v>0</v>
      </c>
      <c r="G21" s="416">
        <v>0</v>
      </c>
      <c r="H21" s="416">
        <v>0</v>
      </c>
      <c r="I21" s="417">
        <f t="shared" si="3"/>
        <v>0</v>
      </c>
    </row>
    <row r="22" spans="2:9" ht="15">
      <c r="B22" s="249" t="s">
        <v>258</v>
      </c>
      <c r="C22" s="418">
        <v>0</v>
      </c>
      <c r="D22" s="418">
        <v>0</v>
      </c>
      <c r="E22" s="418">
        <v>0</v>
      </c>
      <c r="F22" s="418">
        <v>0</v>
      </c>
      <c r="G22" s="419">
        <v>0</v>
      </c>
      <c r="H22" s="419">
        <v>0</v>
      </c>
      <c r="I22" s="417">
        <f t="shared" si="3"/>
        <v>0</v>
      </c>
    </row>
    <row r="23" spans="2:9" s="44" customFormat="1" ht="13.5">
      <c r="B23" s="491" t="s">
        <v>102</v>
      </c>
      <c r="C23" s="418">
        <v>0</v>
      </c>
      <c r="D23" s="418">
        <v>1438925</v>
      </c>
      <c r="E23" s="417">
        <v>0</v>
      </c>
      <c r="F23" s="412">
        <v>0</v>
      </c>
      <c r="G23" s="416">
        <v>-1438925</v>
      </c>
      <c r="H23" s="416">
        <v>0</v>
      </c>
      <c r="I23" s="417">
        <f t="shared" si="3"/>
        <v>0</v>
      </c>
    </row>
    <row r="24" spans="2:11" s="44" customFormat="1" ht="13.5">
      <c r="B24" s="249" t="s">
        <v>308</v>
      </c>
      <c r="C24" s="418">
        <v>0</v>
      </c>
      <c r="D24" s="418">
        <v>0</v>
      </c>
      <c r="E24" s="418">
        <v>0</v>
      </c>
      <c r="F24" s="418">
        <v>0</v>
      </c>
      <c r="G24" s="419">
        <v>0</v>
      </c>
      <c r="H24" s="419">
        <v>0</v>
      </c>
      <c r="I24" s="417">
        <f t="shared" si="3"/>
        <v>0</v>
      </c>
      <c r="J24" s="488"/>
      <c r="K24" s="489"/>
    </row>
    <row r="25" spans="2:9" ht="15">
      <c r="B25" s="491" t="s">
        <v>621</v>
      </c>
      <c r="C25" s="418">
        <v>0</v>
      </c>
      <c r="D25" s="418">
        <v>0</v>
      </c>
      <c r="E25" s="418">
        <v>0</v>
      </c>
      <c r="F25" s="412">
        <v>0</v>
      </c>
      <c r="G25" s="416">
        <v>0</v>
      </c>
      <c r="H25" s="416">
        <v>0</v>
      </c>
      <c r="I25" s="417">
        <f t="shared" si="3"/>
        <v>0</v>
      </c>
    </row>
    <row r="26" spans="2:9" ht="15">
      <c r="B26" s="491" t="s">
        <v>697</v>
      </c>
      <c r="C26" s="418">
        <v>0</v>
      </c>
      <c r="D26" s="418">
        <v>0</v>
      </c>
      <c r="E26" s="412">
        <v>0</v>
      </c>
      <c r="F26" s="412">
        <v>0</v>
      </c>
      <c r="G26" s="416">
        <v>0</v>
      </c>
      <c r="H26" s="416">
        <v>173059</v>
      </c>
      <c r="I26" s="417">
        <f t="shared" si="3"/>
        <v>173059</v>
      </c>
    </row>
    <row r="27" spans="2:9" ht="15" hidden="1">
      <c r="B27" s="491" t="s">
        <v>686</v>
      </c>
      <c r="C27" s="417">
        <v>0</v>
      </c>
      <c r="D27" s="417">
        <v>0</v>
      </c>
      <c r="E27" s="417">
        <v>0</v>
      </c>
      <c r="F27" s="417">
        <v>0</v>
      </c>
      <c r="G27" s="419">
        <v>0</v>
      </c>
      <c r="H27" s="419">
        <v>0</v>
      </c>
      <c r="I27" s="417">
        <f t="shared" si="3"/>
        <v>0</v>
      </c>
    </row>
    <row r="28" spans="2:9" ht="15" hidden="1">
      <c r="B28" s="249" t="s">
        <v>164</v>
      </c>
      <c r="C28" s="417">
        <v>0</v>
      </c>
      <c r="D28" s="417">
        <v>0</v>
      </c>
      <c r="E28" s="417">
        <v>0</v>
      </c>
      <c r="F28" s="417">
        <v>0</v>
      </c>
      <c r="G28" s="417">
        <v>0</v>
      </c>
      <c r="H28" s="417">
        <v>0</v>
      </c>
      <c r="I28" s="417">
        <f t="shared" si="3"/>
        <v>0</v>
      </c>
    </row>
    <row r="29" spans="2:9" ht="15">
      <c r="B29" s="248" t="s">
        <v>767</v>
      </c>
      <c r="C29" s="415">
        <f aca="true" t="shared" si="5" ref="C29:H29">SUM(C20:C28)</f>
        <v>229155</v>
      </c>
      <c r="D29" s="415">
        <f t="shared" si="5"/>
        <v>4341065</v>
      </c>
      <c r="E29" s="415">
        <f t="shared" si="5"/>
        <v>6357809</v>
      </c>
      <c r="F29" s="415">
        <f t="shared" si="5"/>
        <v>0</v>
      </c>
      <c r="G29" s="415">
        <f t="shared" si="5"/>
        <v>12705</v>
      </c>
      <c r="H29" s="415">
        <f t="shared" si="5"/>
        <v>173059</v>
      </c>
      <c r="I29" s="415">
        <f t="shared" si="3"/>
        <v>11113793</v>
      </c>
    </row>
  </sheetData>
  <sheetProtection/>
  <mergeCells count="2">
    <mergeCell ref="B3:I3"/>
    <mergeCell ref="B16:I16"/>
  </mergeCells>
  <hyperlinks>
    <hyperlink ref="B1" location="'Spis treści'!A1" display="'Spis treści'!A1"/>
  </hyperlinks>
  <printOptions/>
  <pageMargins left="0.7" right="0.7" top="0.75" bottom="0.75" header="0.3" footer="0.3"/>
  <pageSetup fitToHeight="1" fitToWidth="1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D65"/>
  <sheetViews>
    <sheetView showGridLines="0" view="pageBreakPreview" zoomScale="90" zoomScaleNormal="75" zoomScaleSheetLayoutView="90" zoomScalePageLayoutView="0" workbookViewId="0" topLeftCell="A34">
      <selection activeCell="C13" sqref="C13"/>
    </sheetView>
  </sheetViews>
  <sheetFormatPr defaultColWidth="9.28125" defaultRowHeight="12.75"/>
  <cols>
    <col min="1" max="1" width="5.28125" style="36" customWidth="1"/>
    <col min="2" max="2" width="74.7109375" style="36" customWidth="1"/>
    <col min="3" max="4" width="22.7109375" style="36" customWidth="1"/>
    <col min="5" max="16384" width="9.28125" style="36" customWidth="1"/>
  </cols>
  <sheetData>
    <row r="1" s="42" customFormat="1" ht="22.5" customHeight="1">
      <c r="B1" s="244" t="s">
        <v>417</v>
      </c>
    </row>
    <row r="2" spans="1:4" s="37" customFormat="1" ht="20.25">
      <c r="A2" s="251"/>
      <c r="B2" s="235"/>
      <c r="C2" s="235" t="str">
        <f>CONCATENATE("za okres ",'Dane podstawowe'!$B$7)</f>
        <v>za okres 01.01.2018 - 31.12.2018</v>
      </c>
      <c r="D2" s="235" t="str">
        <f>CONCATENATE("za okres ",'Dane podstawowe'!$B$12)</f>
        <v>za okres 01.01.2017 - 31.12.2017</v>
      </c>
    </row>
    <row r="3" spans="2:4" s="38" customFormat="1" ht="12.75">
      <c r="B3" s="623" t="s">
        <v>239</v>
      </c>
      <c r="C3" s="624"/>
      <c r="D3" s="625"/>
    </row>
    <row r="4" spans="2:4" s="39" customFormat="1" ht="13.5">
      <c r="B4" s="420" t="s">
        <v>742</v>
      </c>
      <c r="C4" s="409">
        <f>RZiS!E25</f>
        <v>1171391</v>
      </c>
      <c r="D4" s="409">
        <f>RZiS!F25</f>
        <v>288589</v>
      </c>
    </row>
    <row r="5" spans="2:4" s="38" customFormat="1" ht="12.75">
      <c r="B5" s="420" t="s">
        <v>240</v>
      </c>
      <c r="C5" s="411">
        <f>SUM(C6:C16)</f>
        <v>-2389091</v>
      </c>
      <c r="D5" s="411">
        <f>SUM(D6:D16)</f>
        <v>83016</v>
      </c>
    </row>
    <row r="6" spans="2:4" s="38" customFormat="1" ht="12.75">
      <c r="B6" s="421" t="s">
        <v>393</v>
      </c>
      <c r="C6" s="410">
        <v>754139</v>
      </c>
      <c r="D6" s="410">
        <v>455206</v>
      </c>
    </row>
    <row r="7" spans="2:4" s="38" customFormat="1" ht="12.75">
      <c r="B7" s="421" t="s">
        <v>241</v>
      </c>
      <c r="C7" s="410">
        <v>-807</v>
      </c>
      <c r="D7" s="410">
        <v>-1954</v>
      </c>
    </row>
    <row r="8" spans="2:4" s="39" customFormat="1" ht="13.5">
      <c r="B8" s="421" t="s">
        <v>242</v>
      </c>
      <c r="C8" s="412">
        <v>-2974343</v>
      </c>
      <c r="D8" s="412">
        <v>-1449068</v>
      </c>
    </row>
    <row r="9" spans="2:4" s="38" customFormat="1" ht="12.75">
      <c r="B9" s="421" t="s">
        <v>243</v>
      </c>
      <c r="C9" s="410">
        <v>345946</v>
      </c>
      <c r="D9" s="410">
        <v>0</v>
      </c>
    </row>
    <row r="10" spans="2:4" s="38" customFormat="1" ht="12.75">
      <c r="B10" s="421" t="s">
        <v>244</v>
      </c>
      <c r="C10" s="410">
        <f>-7347-104020</f>
        <v>-111367</v>
      </c>
      <c r="D10" s="410">
        <f>302418-115530</f>
        <v>186888</v>
      </c>
    </row>
    <row r="11" spans="2:4" s="38" customFormat="1" ht="12.75">
      <c r="B11" s="421" t="s">
        <v>743</v>
      </c>
      <c r="C11" s="412">
        <v>0</v>
      </c>
      <c r="D11" s="412">
        <v>0</v>
      </c>
    </row>
    <row r="12" spans="2:4" s="38" customFormat="1" ht="12.75">
      <c r="B12" s="421" t="s">
        <v>744</v>
      </c>
      <c r="C12" s="410">
        <v>-21192</v>
      </c>
      <c r="D12" s="410">
        <v>330134</v>
      </c>
    </row>
    <row r="13" spans="2:4" s="40" customFormat="1" ht="20.25">
      <c r="B13" s="421" t="s">
        <v>745</v>
      </c>
      <c r="C13" s="412">
        <v>-338439</v>
      </c>
      <c r="D13" s="412">
        <v>663022</v>
      </c>
    </row>
    <row r="14" spans="2:4" s="38" customFormat="1" ht="12.75">
      <c r="B14" s="421" t="s">
        <v>746</v>
      </c>
      <c r="C14" s="410">
        <v>6069</v>
      </c>
      <c r="D14" s="410">
        <v>-236372</v>
      </c>
    </row>
    <row r="15" spans="2:4" s="38" customFormat="1" ht="12.75">
      <c r="B15" s="421" t="s">
        <v>67</v>
      </c>
      <c r="C15" s="410">
        <v>-49097</v>
      </c>
      <c r="D15" s="410">
        <v>135160</v>
      </c>
    </row>
    <row r="16" spans="2:4" s="38" customFormat="1" ht="12.75">
      <c r="B16" s="421" t="s">
        <v>747</v>
      </c>
      <c r="C16" s="412">
        <v>0</v>
      </c>
      <c r="D16" s="412">
        <v>0</v>
      </c>
    </row>
    <row r="17" spans="2:4" s="38" customFormat="1" ht="12.75">
      <c r="B17" s="422" t="s">
        <v>297</v>
      </c>
      <c r="C17" s="409">
        <f>C4+C5</f>
        <v>-1217700</v>
      </c>
      <c r="D17" s="409">
        <f>D4+D5</f>
        <v>371605</v>
      </c>
    </row>
    <row r="18" spans="2:4" s="38" customFormat="1" ht="12.75">
      <c r="B18" s="626" t="s">
        <v>246</v>
      </c>
      <c r="C18" s="627"/>
      <c r="D18" s="628"/>
    </row>
    <row r="19" spans="2:4" s="38" customFormat="1" ht="12.75">
      <c r="B19" s="423" t="s">
        <v>255</v>
      </c>
      <c r="C19" s="424">
        <f>SUM(C20:C24)</f>
        <v>7131453</v>
      </c>
      <c r="D19" s="424">
        <f>SUM(D20:D24)</f>
        <v>1939950</v>
      </c>
    </row>
    <row r="20" spans="2:4" s="38" customFormat="1" ht="12.75">
      <c r="B20" s="421" t="s">
        <v>748</v>
      </c>
      <c r="C20" s="410">
        <v>37122</v>
      </c>
      <c r="D20" s="410">
        <v>0</v>
      </c>
    </row>
    <row r="21" spans="2:4" s="38" customFormat="1" ht="12.75">
      <c r="B21" s="421" t="s">
        <v>749</v>
      </c>
      <c r="C21" s="410">
        <v>0</v>
      </c>
      <c r="D21" s="410">
        <v>0</v>
      </c>
    </row>
    <row r="22" spans="2:4" s="38" customFormat="1" ht="12.75">
      <c r="B22" s="421" t="s">
        <v>750</v>
      </c>
      <c r="C22" s="410">
        <v>0</v>
      </c>
      <c r="D22" s="410">
        <v>0</v>
      </c>
    </row>
    <row r="23" spans="2:4" s="38" customFormat="1" ht="12.75">
      <c r="B23" s="421" t="s">
        <v>326</v>
      </c>
      <c r="C23" s="412">
        <v>5173594</v>
      </c>
      <c r="D23" s="412">
        <v>1439950</v>
      </c>
    </row>
    <row r="24" spans="2:4" s="38" customFormat="1" ht="12.75">
      <c r="B24" s="421" t="s">
        <v>751</v>
      </c>
      <c r="C24" s="410">
        <f>1908888+11849</f>
        <v>1920737</v>
      </c>
      <c r="D24" s="410">
        <v>500000</v>
      </c>
    </row>
    <row r="25" spans="2:4" s="38" customFormat="1" ht="12.75">
      <c r="B25" s="420" t="s">
        <v>256</v>
      </c>
      <c r="C25" s="409">
        <f>SUM(C26:C29)</f>
        <v>7242250</v>
      </c>
      <c r="D25" s="409">
        <f>SUM(D26:D29)</f>
        <v>2324966</v>
      </c>
    </row>
    <row r="26" spans="2:4" s="38" customFormat="1" ht="12.75">
      <c r="B26" s="421" t="s">
        <v>752</v>
      </c>
      <c r="C26" s="412">
        <v>1328407</v>
      </c>
      <c r="D26" s="412">
        <v>1249455</v>
      </c>
    </row>
    <row r="27" spans="2:4" s="41" customFormat="1" ht="11.25">
      <c r="B27" s="421" t="s">
        <v>753</v>
      </c>
      <c r="C27" s="410">
        <v>0</v>
      </c>
      <c r="D27" s="410">
        <v>0</v>
      </c>
    </row>
    <row r="28" spans="2:4" s="40" customFormat="1" ht="13.5">
      <c r="B28" s="421" t="s">
        <v>754</v>
      </c>
      <c r="C28" s="412">
        <v>5119375</v>
      </c>
      <c r="D28" s="412">
        <v>273495</v>
      </c>
    </row>
    <row r="29" spans="2:4" s="40" customFormat="1" ht="13.5">
      <c r="B29" s="421" t="s">
        <v>755</v>
      </c>
      <c r="C29" s="412">
        <v>794468</v>
      </c>
      <c r="D29" s="412">
        <v>802016</v>
      </c>
    </row>
    <row r="30" spans="2:4" s="38" customFormat="1" ht="12.75">
      <c r="B30" s="422" t="s">
        <v>298</v>
      </c>
      <c r="C30" s="409">
        <f>C19-C25</f>
        <v>-110797</v>
      </c>
      <c r="D30" s="409">
        <f>D19-D25</f>
        <v>-385016</v>
      </c>
    </row>
    <row r="31" spans="2:4" s="37" customFormat="1" ht="12.75">
      <c r="B31" s="626" t="s">
        <v>249</v>
      </c>
      <c r="C31" s="627"/>
      <c r="D31" s="628"/>
    </row>
    <row r="32" spans="2:4" s="43" customFormat="1" ht="12.75">
      <c r="B32" s="423" t="s">
        <v>255</v>
      </c>
      <c r="C32" s="425">
        <f>SUM(C33:C36)</f>
        <v>1380990</v>
      </c>
      <c r="D32" s="425">
        <f>SUM(D33:D36)</f>
        <v>0</v>
      </c>
    </row>
    <row r="33" spans="2:4" s="38" customFormat="1" ht="12.75">
      <c r="B33" s="421" t="s">
        <v>756</v>
      </c>
      <c r="C33" s="426">
        <v>0</v>
      </c>
      <c r="D33" s="426">
        <v>0</v>
      </c>
    </row>
    <row r="34" spans="2:4" s="38" customFormat="1" ht="12.75">
      <c r="B34" s="421" t="s">
        <v>757</v>
      </c>
      <c r="C34" s="426">
        <v>1380990</v>
      </c>
      <c r="D34" s="426">
        <v>0</v>
      </c>
    </row>
    <row r="35" spans="2:4" s="38" customFormat="1" ht="12.75">
      <c r="B35" s="421" t="s">
        <v>67</v>
      </c>
      <c r="C35" s="426">
        <v>0</v>
      </c>
      <c r="D35" s="426">
        <v>0</v>
      </c>
    </row>
    <row r="36" spans="2:4" s="38" customFormat="1" ht="12.75" hidden="1">
      <c r="B36" s="421" t="s">
        <v>250</v>
      </c>
      <c r="C36" s="426">
        <v>0</v>
      </c>
      <c r="D36" s="426">
        <v>0</v>
      </c>
    </row>
    <row r="37" spans="2:4" s="38" customFormat="1" ht="12.75">
      <c r="B37" s="420" t="s">
        <v>256</v>
      </c>
      <c r="C37" s="427">
        <f>SUM(C38:C46)</f>
        <v>86176</v>
      </c>
      <c r="D37" s="427">
        <f>SUM(D38:D46)</f>
        <v>46010</v>
      </c>
    </row>
    <row r="38" spans="2:4" s="38" customFormat="1" ht="12.75">
      <c r="B38" s="421" t="s">
        <v>761</v>
      </c>
      <c r="C38" s="426">
        <v>0</v>
      </c>
      <c r="D38" s="426">
        <v>0</v>
      </c>
    </row>
    <row r="39" spans="2:4" s="38" customFormat="1" ht="12.75">
      <c r="B39" s="421" t="s">
        <v>758</v>
      </c>
      <c r="C39" s="426">
        <v>0</v>
      </c>
      <c r="D39" s="426">
        <v>8503</v>
      </c>
    </row>
    <row r="40" spans="2:4" s="38" customFormat="1" ht="12.75">
      <c r="B40" s="421" t="s">
        <v>759</v>
      </c>
      <c r="C40" s="428">
        <v>81033</v>
      </c>
      <c r="D40" s="428">
        <v>35681</v>
      </c>
    </row>
    <row r="41" spans="2:4" s="38" customFormat="1" ht="12.75">
      <c r="B41" s="421" t="s">
        <v>760</v>
      </c>
      <c r="C41" s="426">
        <v>5143</v>
      </c>
      <c r="D41" s="428">
        <v>1826</v>
      </c>
    </row>
    <row r="42" spans="2:4" s="40" customFormat="1" ht="13.5">
      <c r="B42" s="421" t="s">
        <v>67</v>
      </c>
      <c r="C42" s="428">
        <v>0</v>
      </c>
      <c r="D42" s="428">
        <v>0</v>
      </c>
    </row>
    <row r="43" spans="2:4" s="38" customFormat="1" ht="12.75" hidden="1">
      <c r="B43" s="421" t="s">
        <v>760</v>
      </c>
      <c r="C43" s="426">
        <v>0</v>
      </c>
      <c r="D43" s="426">
        <v>0</v>
      </c>
    </row>
    <row r="44" spans="2:4" s="38" customFormat="1" ht="12.75" hidden="1">
      <c r="B44" s="421" t="s">
        <v>67</v>
      </c>
      <c r="C44" s="426"/>
      <c r="D44" s="426">
        <v>0</v>
      </c>
    </row>
    <row r="45" spans="2:4" s="38" customFormat="1" ht="12.75" hidden="1">
      <c r="B45" s="421" t="s">
        <v>251</v>
      </c>
      <c r="C45" s="428"/>
      <c r="D45" s="428">
        <v>0</v>
      </c>
    </row>
    <row r="46" spans="2:4" s="38" customFormat="1" ht="12.75" hidden="1">
      <c r="B46" s="421" t="s">
        <v>252</v>
      </c>
      <c r="C46" s="428">
        <v>0</v>
      </c>
      <c r="D46" s="428">
        <v>0</v>
      </c>
    </row>
    <row r="47" spans="2:4" s="38" customFormat="1" ht="12.75">
      <c r="B47" s="422" t="s">
        <v>299</v>
      </c>
      <c r="C47" s="409">
        <f>C32-C37</f>
        <v>1294814</v>
      </c>
      <c r="D47" s="409">
        <f>D32-D37</f>
        <v>-46010</v>
      </c>
    </row>
    <row r="48" spans="2:4" s="38" customFormat="1" ht="12.75">
      <c r="B48" s="429" t="s">
        <v>300</v>
      </c>
      <c r="C48" s="424">
        <f>C17+C30+C47</f>
        <v>-33683</v>
      </c>
      <c r="D48" s="424">
        <f>D17+D30+D47</f>
        <v>-59421</v>
      </c>
    </row>
    <row r="49" spans="2:4" s="38" customFormat="1" ht="12.75">
      <c r="B49" s="429" t="s">
        <v>301</v>
      </c>
      <c r="C49" s="411">
        <f>C52-C51</f>
        <v>-33683</v>
      </c>
      <c r="D49" s="411">
        <f>D52-D51</f>
        <v>-59421</v>
      </c>
    </row>
    <row r="50" spans="2:4" s="38" customFormat="1" ht="12.75">
      <c r="B50" s="430" t="s">
        <v>254</v>
      </c>
      <c r="C50" s="410">
        <v>807</v>
      </c>
      <c r="D50" s="410">
        <v>1954</v>
      </c>
    </row>
    <row r="51" spans="2:4" s="38" customFormat="1" ht="12.75">
      <c r="B51" s="429" t="s">
        <v>419</v>
      </c>
      <c r="C51" s="411">
        <v>232378</v>
      </c>
      <c r="D51" s="411">
        <v>291799</v>
      </c>
    </row>
    <row r="52" spans="2:4" s="38" customFormat="1" ht="12.75">
      <c r="B52" s="429" t="s">
        <v>420</v>
      </c>
      <c r="C52" s="409">
        <f>C51+C48</f>
        <v>198695</v>
      </c>
      <c r="D52" s="409">
        <f>D48+D51</f>
        <v>232378</v>
      </c>
    </row>
    <row r="53" spans="2:4" s="42" customFormat="1" ht="11.25" customHeight="1">
      <c r="B53" s="25"/>
      <c r="C53" s="29"/>
      <c r="D53" s="26"/>
    </row>
    <row r="54" spans="2:4" s="42" customFormat="1" ht="11.25" customHeight="1">
      <c r="B54" s="25"/>
      <c r="C54" s="29"/>
      <c r="D54" s="26"/>
    </row>
    <row r="55" spans="2:4" s="42" customFormat="1" ht="11.25" customHeight="1">
      <c r="B55" s="25"/>
      <c r="C55" s="31"/>
      <c r="D55" s="26"/>
    </row>
    <row r="56" spans="2:4" s="42" customFormat="1" ht="11.25" customHeight="1">
      <c r="B56" s="25"/>
      <c r="C56" s="29"/>
      <c r="D56" s="26"/>
    </row>
    <row r="57" spans="2:4" s="42" customFormat="1" ht="11.25" customHeight="1">
      <c r="B57" s="25"/>
      <c r="C57" s="29"/>
      <c r="D57" s="26"/>
    </row>
    <row r="58" spans="2:4" s="42" customFormat="1" ht="11.25" customHeight="1">
      <c r="B58" s="25"/>
      <c r="C58" s="31"/>
      <c r="D58" s="26"/>
    </row>
    <row r="59" spans="2:4" s="42" customFormat="1" ht="16.5" customHeight="1">
      <c r="B59" s="25"/>
      <c r="C59" s="26"/>
      <c r="D59" s="26"/>
    </row>
    <row r="60" spans="2:4" s="42" customFormat="1" ht="16.5" customHeight="1">
      <c r="B60" s="25"/>
      <c r="C60" s="26"/>
      <c r="D60" s="26"/>
    </row>
    <row r="61" spans="2:4" s="42" customFormat="1" ht="16.5" customHeight="1">
      <c r="B61" s="33"/>
      <c r="C61" s="26"/>
      <c r="D61" s="26"/>
    </row>
    <row r="62" spans="2:4" s="42" customFormat="1" ht="16.5" customHeight="1">
      <c r="B62" s="25"/>
      <c r="C62" s="26"/>
      <c r="D62" s="26"/>
    </row>
    <row r="63" spans="2:4" s="42" customFormat="1" ht="16.5" customHeight="1">
      <c r="B63" s="33"/>
      <c r="C63" s="26"/>
      <c r="D63" s="26"/>
    </row>
    <row r="64" spans="2:4" s="42" customFormat="1" ht="16.5" customHeight="1">
      <c r="B64" s="35"/>
      <c r="C64" s="26"/>
      <c r="D64" s="26"/>
    </row>
    <row r="65" spans="2:4" s="42" customFormat="1" ht="16.5" customHeight="1">
      <c r="B65" s="35"/>
      <c r="C65" s="26"/>
      <c r="D65" s="26"/>
    </row>
  </sheetData>
  <sheetProtection/>
  <mergeCells count="3">
    <mergeCell ref="B3:D3"/>
    <mergeCell ref="B18:D18"/>
    <mergeCell ref="B31:D31"/>
  </mergeCells>
  <hyperlinks>
    <hyperlink ref="B1" location="'Spis treści'!A1" display="'Spis treści'!A1"/>
  </hyperlink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showGridLines="0" view="pageBreakPreview" zoomScale="90" zoomScaleSheetLayoutView="90" zoomScalePageLayoutView="0" workbookViewId="0" topLeftCell="A1">
      <selection activeCell="A21" sqref="A21:IV49"/>
    </sheetView>
  </sheetViews>
  <sheetFormatPr defaultColWidth="9.28125" defaultRowHeight="12.75"/>
  <cols>
    <col min="1" max="1" width="40.00390625" style="254" customWidth="1"/>
    <col min="2" max="3" width="18.28125" style="254" bestFit="1" customWidth="1"/>
    <col min="4" max="4" width="12.57421875" style="254" customWidth="1"/>
    <col min="5" max="5" width="15.28125" style="254" customWidth="1"/>
    <col min="6" max="6" width="11.421875" style="254" customWidth="1"/>
    <col min="7" max="7" width="12.421875" style="254" customWidth="1"/>
    <col min="8" max="8" width="9.7109375" style="254" customWidth="1"/>
    <col min="9" max="9" width="9.28125" style="254" customWidth="1"/>
    <col min="10" max="10" width="14.28125" style="254" customWidth="1"/>
    <col min="11" max="11" width="9.28125" style="254" customWidth="1"/>
    <col min="12" max="12" width="14.00390625" style="254" customWidth="1"/>
    <col min="13" max="16384" width="9.28125" style="254" customWidth="1"/>
  </cols>
  <sheetData>
    <row r="1" s="252" customFormat="1" ht="11.25">
      <c r="A1" s="253"/>
    </row>
    <row r="2" s="155" customFormat="1" ht="12.75">
      <c r="A2" s="270" t="s">
        <v>576</v>
      </c>
    </row>
    <row r="3" s="155" customFormat="1" ht="9.75">
      <c r="A3" s="63"/>
    </row>
    <row r="4" spans="1:3" s="155" customFormat="1" ht="9.75">
      <c r="A4" s="133" t="s">
        <v>381</v>
      </c>
      <c r="B4" s="143" t="str">
        <f>'Dane podstawowe'!B7</f>
        <v>01.01.2018 - 31.12.2018</v>
      </c>
      <c r="C4" s="143" t="str">
        <f>'Dane podstawowe'!B12</f>
        <v>01.01.2017 - 31.12.2017</v>
      </c>
    </row>
    <row r="5" spans="1:3" s="155" customFormat="1" ht="15" customHeight="1">
      <c r="A5" s="439" t="s">
        <v>435</v>
      </c>
      <c r="B5" s="440"/>
      <c r="C5" s="440"/>
    </row>
    <row r="6" spans="1:3" s="155" customFormat="1" ht="15" customHeight="1">
      <c r="A6" s="441" t="s">
        <v>309</v>
      </c>
      <c r="B6" s="117">
        <v>0</v>
      </c>
      <c r="C6" s="117">
        <v>0</v>
      </c>
    </row>
    <row r="7" spans="1:3" s="155" customFormat="1" ht="15" customHeight="1">
      <c r="A7" s="441" t="s">
        <v>310</v>
      </c>
      <c r="B7" s="117">
        <v>0</v>
      </c>
      <c r="C7" s="117">
        <v>0</v>
      </c>
    </row>
    <row r="8" spans="1:3" s="155" customFormat="1" ht="15" customHeight="1">
      <c r="A8" s="441" t="s">
        <v>311</v>
      </c>
      <c r="B8" s="117">
        <v>10400700</v>
      </c>
      <c r="C8" s="117">
        <v>10535809</v>
      </c>
    </row>
    <row r="9" spans="1:7" s="155" customFormat="1" ht="15" customHeight="1">
      <c r="A9" s="59" t="s">
        <v>312</v>
      </c>
      <c r="B9" s="64">
        <f>SUM(B6:B8)</f>
        <v>10400700</v>
      </c>
      <c r="C9" s="64">
        <f>SUM(C6:C8)</f>
        <v>10535809</v>
      </c>
      <c r="F9" s="615"/>
      <c r="G9" s="615"/>
    </row>
    <row r="10" spans="1:3" s="155" customFormat="1" ht="15" customHeight="1">
      <c r="A10" s="441" t="s">
        <v>234</v>
      </c>
      <c r="B10" s="117">
        <v>32542</v>
      </c>
      <c r="C10" s="117">
        <v>22551</v>
      </c>
    </row>
    <row r="11" spans="1:3" s="155" customFormat="1" ht="15" customHeight="1">
      <c r="A11" s="441" t="s">
        <v>380</v>
      </c>
      <c r="B11" s="117">
        <v>3055910</v>
      </c>
      <c r="C11" s="117">
        <v>1462275</v>
      </c>
    </row>
    <row r="12" spans="1:3" s="155" customFormat="1" ht="20.25">
      <c r="A12" s="70" t="s">
        <v>436</v>
      </c>
      <c r="B12" s="64">
        <f>SUM(B9:B11)</f>
        <v>13489152</v>
      </c>
      <c r="C12" s="64">
        <f>SUM(C9:C11)</f>
        <v>12020635</v>
      </c>
    </row>
    <row r="13" spans="1:3" s="155" customFormat="1" ht="9.75">
      <c r="A13" s="59" t="s">
        <v>437</v>
      </c>
      <c r="B13" s="64">
        <v>0</v>
      </c>
      <c r="C13" s="64">
        <v>0</v>
      </c>
    </row>
    <row r="14" spans="1:3" s="62" customFormat="1" ht="12.75" customHeight="1">
      <c r="A14" s="59" t="s">
        <v>438</v>
      </c>
      <c r="B14" s="64">
        <f>B12+B13</f>
        <v>13489152</v>
      </c>
      <c r="C14" s="64">
        <f>C12+C13</f>
        <v>12020635</v>
      </c>
    </row>
    <row r="15" spans="1:3" s="62" customFormat="1" ht="12.75" customHeight="1">
      <c r="A15" s="442"/>
      <c r="B15" s="443">
        <f>(RZiS!E3+RZiS!E18+RZiS!E22)-'NOTA 1,2 - Przychody i segmenty'!B12</f>
        <v>0</v>
      </c>
      <c r="C15" s="443">
        <f>(RZiS!F3+RZiS!F18+RZiS!F22)-'NOTA 1,2 - Przychody i segmenty'!C12</f>
        <v>0</v>
      </c>
    </row>
    <row r="16" s="60" customFormat="1" ht="27" customHeight="1">
      <c r="A16" s="53"/>
    </row>
    <row r="17" spans="1:12" s="242" customFormat="1" ht="12.75">
      <c r="A17" s="270" t="s">
        <v>581</v>
      </c>
      <c r="E17" s="501"/>
      <c r="F17" s="471"/>
      <c r="G17" s="471"/>
      <c r="H17" s="471"/>
      <c r="I17" s="471"/>
      <c r="J17" s="471"/>
      <c r="K17" s="471"/>
      <c r="L17" s="471"/>
    </row>
    <row r="18" spans="1:12" s="242" customFormat="1" ht="38.25" customHeight="1">
      <c r="A18" s="629" t="s">
        <v>848</v>
      </c>
      <c r="B18" s="629"/>
      <c r="C18" s="629"/>
      <c r="D18" s="629"/>
      <c r="E18" s="629"/>
      <c r="F18" s="629"/>
      <c r="G18" s="629"/>
      <c r="H18" s="629"/>
      <c r="I18" s="471"/>
      <c r="J18" s="471"/>
      <c r="K18" s="471"/>
      <c r="L18" s="471"/>
    </row>
    <row r="19" spans="1:12" s="242" customFormat="1" ht="32.25" customHeight="1">
      <c r="A19" s="629" t="s">
        <v>575</v>
      </c>
      <c r="B19" s="629"/>
      <c r="C19" s="629"/>
      <c r="D19" s="629"/>
      <c r="E19" s="629"/>
      <c r="F19" s="629"/>
      <c r="G19" s="629"/>
      <c r="H19" s="629"/>
      <c r="I19" s="471"/>
      <c r="J19" s="471"/>
      <c r="K19" s="471"/>
      <c r="L19" s="471"/>
    </row>
    <row r="20" spans="1:12" s="242" customFormat="1" ht="12.75">
      <c r="A20" s="502"/>
      <c r="B20" s="502"/>
      <c r="C20" s="502"/>
      <c r="D20" s="502"/>
      <c r="E20" s="502"/>
      <c r="F20" s="502"/>
      <c r="G20" s="502"/>
      <c r="H20" s="502"/>
      <c r="I20" s="471"/>
      <c r="J20" s="471"/>
      <c r="K20" s="471"/>
      <c r="L20" s="471"/>
    </row>
  </sheetData>
  <sheetProtection/>
  <mergeCells count="2">
    <mergeCell ref="A18:H18"/>
    <mergeCell ref="A19:H19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 Barycki</dc:creator>
  <cp:keywords/>
  <dc:description/>
  <cp:lastModifiedBy>Tomasz Skupień</cp:lastModifiedBy>
  <cp:lastPrinted>2018-03-08T11:10:25Z</cp:lastPrinted>
  <dcterms:created xsi:type="dcterms:W3CDTF">2007-11-12T12:49:29Z</dcterms:created>
  <dcterms:modified xsi:type="dcterms:W3CDTF">2021-07-22T12:19:49Z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