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.Skupien\Desktop\2021\Czerwiec\pliki na giełdę\2018 SKONSOLIDOWANE\"/>
    </mc:Choice>
  </mc:AlternateContent>
  <bookViews>
    <workbookView xWindow="-120" yWindow="-120" windowWidth="20736" windowHeight="11160" tabRatio="915" activeTab="1"/>
  </bookViews>
  <sheets>
    <sheet name="Dane podstawowe" sheetId="2" r:id="rId1"/>
    <sheet name="wybrane dane finansowe" sheetId="64" r:id="rId2"/>
    <sheet name="RZiS" sheetId="7" r:id="rId3"/>
    <sheet name="Skr. spr. z cał. dochodów" sheetId="53" r:id="rId4"/>
    <sheet name="Aktywa" sheetId="3" r:id="rId5"/>
    <sheet name="Pasywa" sheetId="8" r:id="rId6"/>
    <sheet name="ZZwK" sheetId="9" r:id="rId7"/>
    <sheet name="RPP" sheetId="6" r:id="rId8"/>
    <sheet name="NOTA 1,2 - Przychody i segmenty" sheetId="4" r:id="rId9"/>
    <sheet name="NOTA 3 - Koszty rodzajowe" sheetId="11" r:id="rId10"/>
    <sheet name="NOTA 4 - PPO i PKO" sheetId="5" r:id="rId11"/>
    <sheet name="NOTA 5 - PF i KF" sheetId="10" r:id="rId12"/>
    <sheet name="NOTA 6 - Podatek " sheetId="12" r:id="rId13"/>
    <sheet name="NOTA 7 - Zysk na 1 akcję" sheetId="14" r:id="rId14"/>
    <sheet name="NOTA 9 -Rzeczowe aktywa trwałe" sheetId="18" r:id="rId15"/>
    <sheet name="NOTA 10 -Wartości niematerialne" sheetId="17" r:id="rId16"/>
    <sheet name="NOTA 11 - Wartość firmy" sheetId="50" r:id="rId17"/>
    <sheet name="NOTA 12 - Inwest. jedn. stow." sheetId="43" r:id="rId18"/>
    <sheet name="NOTA 13 - Akcje udziały w jedn." sheetId="22" r:id="rId19"/>
    <sheet name="NOTA 14 -Pozostałe aktywa finan" sheetId="59" r:id="rId20"/>
    <sheet name="NOTA 15,16 - Należności" sheetId="27" r:id="rId21"/>
    <sheet name="NOTA 17 - RMK" sheetId="37" r:id="rId22"/>
    <sheet name="NOTA 18 - Środki pieniężne" sheetId="26" r:id="rId23"/>
    <sheet name="NOTA  19,20,21,22 - Kapitały" sheetId="25" r:id="rId24"/>
    <sheet name="NOTA 23 Kredyty i pożyczki" sheetId="24" r:id="rId25"/>
    <sheet name="NOTA 24 Zobowiązania finansowe" sheetId="60" r:id="rId26"/>
    <sheet name="NOTA 25,26 - Zob. hand i pozost" sheetId="45" r:id="rId27"/>
    <sheet name="NOTA 27- RMP" sheetId="47" r:id="rId28"/>
    <sheet name="NOTA 28,29 - Rezerwy" sheetId="23" r:id="rId29"/>
    <sheet name="NOTA 31 - Zarządzanie kapitałem" sheetId="34" r:id="rId30"/>
    <sheet name="NOTA 32 - Podmioty powiązane" sheetId="63" r:id="rId31"/>
    <sheet name="NOTA 33 - Wynagrodzenie kadry " sheetId="31" r:id="rId32"/>
    <sheet name="NOTA 34 - Sruktura zatrudnienia" sheetId="35" r:id="rId33"/>
    <sheet name="NOTA 40 - Wynagrodzenie BR" sheetId="56" r:id="rId34"/>
    <sheet name="NOTA 41 - Objasnienia do RPP" sheetId="36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_Toc103232643" localSheetId="13">'NOTA 7 - Zysk na 1 akcję'!#REF!</definedName>
    <definedName name="BZ">[1]Dane!$BB$55</definedName>
    <definedName name="BZPoprzedni">[1]Dane!$BB$56</definedName>
    <definedName name="KoncOkrPoprzAlt" localSheetId="15">[2]Dane!$BB$72</definedName>
    <definedName name="KoncOkrSpraw" localSheetId="15">[2]Dane!$BB$63</definedName>
    <definedName name="_xlnm.Print_Area" localSheetId="4">Aktywa!$B$2:$I$27</definedName>
    <definedName name="_xlnm.Print_Area" localSheetId="23">'NOTA  19,20,21,22 - Kapitały'!$B$2:$I$144</definedName>
    <definedName name="_xlnm.Print_Area" localSheetId="8">'NOTA 1,2 - Przychody i segmenty'!#REF!</definedName>
    <definedName name="_xlnm.Print_Area" localSheetId="15">'NOTA 10 -Wartości niematerialne'!$B$2:$J$80</definedName>
    <definedName name="_xlnm.Print_Area" localSheetId="16">'NOTA 11 - Wartość firmy'!$B$2:$H$38</definedName>
    <definedName name="_xlnm.Print_Area" localSheetId="17">'NOTA 12 - Inwest. jedn. stow.'!$A$2:$G$39</definedName>
    <definedName name="_xlnm.Print_Area" localSheetId="18">'NOTA 13 - Akcje udziały w jedn.'!$A$2:$I$37</definedName>
    <definedName name="_xlnm.Print_Area" localSheetId="19">'NOTA 14 -Pozostałe aktywa finan'!$A$2:$G$97</definedName>
    <definedName name="_xlnm.Print_Area" localSheetId="20">'NOTA 15,16 - Należności'!$A$2:$I$130</definedName>
    <definedName name="_xlnm.Print_Area" localSheetId="21">'NOTA 17 - RMK'!$A$2:$G$13</definedName>
    <definedName name="_xlnm.Print_Area" localSheetId="22">'NOTA 18 - Środki pieniężne'!$A$2:$C$14</definedName>
    <definedName name="_xlnm.Print_Area" localSheetId="24">'NOTA 23 Kredyty i pożyczki'!$A$2:$J$39</definedName>
    <definedName name="_xlnm.Print_Area" localSheetId="25">'NOTA 24 Zobowiązania finansowe'!$A$2:$H$25</definedName>
    <definedName name="_xlnm.Print_Area" localSheetId="26">'NOTA 25,26 - Zob. hand i pozost'!$A$2:$K$56</definedName>
    <definedName name="_xlnm.Print_Area" localSheetId="27">'NOTA 27- RMP'!$A$2:$E$16</definedName>
    <definedName name="_xlnm.Print_Area" localSheetId="28">'NOTA 28,29 - Rezerwy'!$A$2:$L$70</definedName>
    <definedName name="_xlnm.Print_Area" localSheetId="9">'NOTA 3 - Koszty rodzajowe'!$B$2:$H$22</definedName>
    <definedName name="_xlnm.Print_Area" localSheetId="29">'NOTA 31 - Zarządzanie kapitałem'!$A$2:$H$16</definedName>
    <definedName name="_xlnm.Print_Area" localSheetId="30">'NOTA 32 - Podmioty powiązane'!$A$2:$M$27</definedName>
    <definedName name="_xlnm.Print_Area" localSheetId="31">'NOTA 33 - Wynagrodzenie kadry '!$A$2:$E$59</definedName>
    <definedName name="_xlnm.Print_Area" localSheetId="32">'NOTA 34 - Sruktura zatrudnienia'!$A$2:$F$20</definedName>
    <definedName name="_xlnm.Print_Area" localSheetId="10">'NOTA 4 - PPO i PKO'!$A$2:$H$33</definedName>
    <definedName name="_xlnm.Print_Area" localSheetId="33">'NOTA 40 - Wynagrodzenie BR'!$B$2:$G$9</definedName>
    <definedName name="_xlnm.Print_Area" localSheetId="34">'NOTA 41 - Objasnienia do RPP'!$A$2:$H$74</definedName>
    <definedName name="_xlnm.Print_Area" localSheetId="11">'NOTA 5 - PF i KF'!$A$2:$I$36</definedName>
    <definedName name="_xlnm.Print_Area" localSheetId="12">'NOTA 6 - Podatek '!$B$2:$N$89</definedName>
    <definedName name="_xlnm.Print_Area" localSheetId="13">'NOTA 7 - Zysk na 1 akcję'!$B$2:$H$24</definedName>
    <definedName name="_xlnm.Print_Area" localSheetId="14">'NOTA 9 -Rzeczowe aktywa trwałe'!$B$2:$J$158</definedName>
    <definedName name="_xlnm.Print_Area" localSheetId="5">Pasywa!$B$2:$H$32</definedName>
    <definedName name="_xlnm.Print_Area" localSheetId="7">RPP!$B$2:$G$57</definedName>
    <definedName name="_xlnm.Print_Area" localSheetId="2">RZiS!$B$2:$I$42</definedName>
    <definedName name="_xlnm.Print_Area" localSheetId="3">'Skr. spr. z cał. dochodów'!$B$2:$H$19</definedName>
    <definedName name="_xlnm.Print_Area" localSheetId="1">'wybrane dane finansowe'!$A$2:$E$34</definedName>
    <definedName name="_xlnm.Print_Area" localSheetId="6">ZZwK!$B$2:$K$48</definedName>
    <definedName name="OdDo" localSheetId="1">[3]Dane!$BB$58</definedName>
    <definedName name="OdDo">[4]Dane!$BB$58</definedName>
    <definedName name="OdDoPoprz" localSheetId="1">[3]Dane!$BB$59</definedName>
    <definedName name="OdDoPoprz">[4]Dane!$BB$59</definedName>
    <definedName name="OdDoPoprzAlt" localSheetId="1">[3]Dane!$BB$60</definedName>
    <definedName name="OdDoPoprzAlt">[4]Dane!$BB$60</definedName>
    <definedName name="PoczOkrPoprz" localSheetId="15">[2]Dane!$BB$68</definedName>
    <definedName name="PoczOkrSpraw" localSheetId="15">[2]Dane!$BB$62</definedName>
    <definedName name="SkrotWaluty" localSheetId="1">[5]Dane!$BB$96</definedName>
    <definedName name="SkrotWaluty">[1]Dane!$BB$96</definedName>
    <definedName name="WOkrPoprzAlt" localSheetId="1">[3]Dane!$BB$74</definedName>
    <definedName name="WOkrPoprzAlt">[4]Dane!$BB$74</definedName>
    <definedName name="WOkrSpraw" localSheetId="1">[3]Dane!$BB$67</definedName>
    <definedName name="WOkrSpraw">[4]Dane!$BB$67</definedName>
  </definedNames>
  <calcPr calcId="152511"/>
</workbook>
</file>

<file path=xl/calcChain.xml><?xml version="1.0" encoding="utf-8"?>
<calcChain xmlns="http://schemas.openxmlformats.org/spreadsheetml/2006/main">
  <c r="C30" i="59" l="1"/>
  <c r="B30" i="59"/>
  <c r="B39" i="36" l="1"/>
  <c r="C14" i="6" l="1"/>
  <c r="E58" i="12" l="1"/>
  <c r="H58" i="12" s="1"/>
  <c r="G57" i="12"/>
  <c r="E57" i="12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E48" i="12"/>
  <c r="H48" i="12" s="1"/>
  <c r="E47" i="12"/>
  <c r="H47" i="12" s="1"/>
  <c r="E46" i="12"/>
  <c r="H46" i="12" s="1"/>
  <c r="H57" i="12" l="1"/>
  <c r="C59" i="12"/>
  <c r="C61" i="12" s="1"/>
  <c r="D59" i="12"/>
  <c r="D61" i="12" s="1"/>
  <c r="F59" i="12"/>
  <c r="F61" i="12" s="1"/>
  <c r="G59" i="12"/>
  <c r="G61" i="12" s="1"/>
  <c r="B59" i="36" l="1"/>
  <c r="C16" i="6" l="1"/>
  <c r="C12" i="6"/>
  <c r="G63" i="12" l="1"/>
  <c r="F63" i="12"/>
  <c r="D63" i="12"/>
  <c r="C63" i="12"/>
  <c r="C69" i="12" s="1"/>
  <c r="E59" i="12"/>
  <c r="E61" i="12" s="1"/>
  <c r="H59" i="12" l="1"/>
  <c r="H61" i="12" s="1"/>
  <c r="H63" i="12" s="1"/>
  <c r="H69" i="12" s="1"/>
  <c r="E63" i="12"/>
  <c r="C19" i="11" l="1"/>
  <c r="C20" i="11"/>
  <c r="D79" i="17"/>
  <c r="D75" i="17"/>
  <c r="C75" i="17"/>
  <c r="I69" i="17"/>
  <c r="B69" i="17"/>
  <c r="J68" i="17"/>
  <c r="J67" i="17"/>
  <c r="J66" i="17"/>
  <c r="J65" i="17"/>
  <c r="H64" i="17"/>
  <c r="G64" i="17"/>
  <c r="F64" i="17"/>
  <c r="E64" i="17"/>
  <c r="D64" i="17"/>
  <c r="C64" i="17"/>
  <c r="J63" i="17"/>
  <c r="J62" i="17"/>
  <c r="J61" i="17"/>
  <c r="H60" i="17"/>
  <c r="G60" i="17"/>
  <c r="G69" i="17" s="1"/>
  <c r="G27" i="17" s="1"/>
  <c r="G29" i="17" s="1"/>
  <c r="F60" i="17"/>
  <c r="E60" i="17"/>
  <c r="D60" i="17"/>
  <c r="C60" i="17"/>
  <c r="C69" i="17" s="1"/>
  <c r="C27" i="17" s="1"/>
  <c r="J59" i="17"/>
  <c r="B59" i="17"/>
  <c r="B58" i="17"/>
  <c r="J57" i="17"/>
  <c r="J56" i="17"/>
  <c r="I55" i="17"/>
  <c r="J55" i="17" s="1"/>
  <c r="J54" i="17"/>
  <c r="H53" i="17"/>
  <c r="G53" i="17"/>
  <c r="F53" i="17"/>
  <c r="E53" i="17"/>
  <c r="D53" i="17"/>
  <c r="C53" i="17"/>
  <c r="J52" i="17"/>
  <c r="I51" i="17"/>
  <c r="J51" i="17" s="1"/>
  <c r="J50" i="17"/>
  <c r="J49" i="17"/>
  <c r="H48" i="17"/>
  <c r="G48" i="17"/>
  <c r="F48" i="17"/>
  <c r="F58" i="17" s="1"/>
  <c r="F7" i="17" s="1"/>
  <c r="F9" i="17" s="1"/>
  <c r="F20" i="17" s="1"/>
  <c r="E48" i="17"/>
  <c r="D48" i="17"/>
  <c r="D58" i="17" s="1"/>
  <c r="C48" i="17"/>
  <c r="I47" i="17"/>
  <c r="B47" i="17"/>
  <c r="B41" i="17"/>
  <c r="J40" i="17"/>
  <c r="B39" i="17"/>
  <c r="J38" i="17"/>
  <c r="J37" i="17"/>
  <c r="J36" i="17"/>
  <c r="J35" i="17"/>
  <c r="H34" i="17"/>
  <c r="G34" i="17"/>
  <c r="F34" i="17"/>
  <c r="E34" i="17"/>
  <c r="D34" i="17"/>
  <c r="C34" i="17"/>
  <c r="J33" i="17"/>
  <c r="J32" i="17"/>
  <c r="G31" i="17"/>
  <c r="G30" i="17" s="1"/>
  <c r="C31" i="17"/>
  <c r="H30" i="17"/>
  <c r="F30" i="17"/>
  <c r="E30" i="17"/>
  <c r="D30" i="17"/>
  <c r="C30" i="17"/>
  <c r="I29" i="17"/>
  <c r="I39" i="17" s="1"/>
  <c r="C28" i="17"/>
  <c r="I27" i="17"/>
  <c r="B27" i="17"/>
  <c r="J25" i="17"/>
  <c r="J24" i="17"/>
  <c r="I23" i="17"/>
  <c r="I26" i="17" s="1"/>
  <c r="H23" i="17"/>
  <c r="H26" i="17" s="1"/>
  <c r="G23" i="17"/>
  <c r="G26" i="17" s="1"/>
  <c r="F23" i="17"/>
  <c r="E23" i="17"/>
  <c r="E26" i="17" s="1"/>
  <c r="D23" i="17"/>
  <c r="D26" i="17" s="1"/>
  <c r="C23" i="17"/>
  <c r="C26" i="17" s="1"/>
  <c r="J22" i="17"/>
  <c r="J21" i="17"/>
  <c r="B20" i="17"/>
  <c r="J19" i="17"/>
  <c r="J18" i="17"/>
  <c r="G17" i="17"/>
  <c r="J17" i="17" s="1"/>
  <c r="J16" i="17"/>
  <c r="I15" i="17"/>
  <c r="H15" i="17"/>
  <c r="G15" i="17"/>
  <c r="F15" i="17"/>
  <c r="E15" i="17"/>
  <c r="D15" i="17"/>
  <c r="C15" i="17"/>
  <c r="J13" i="17"/>
  <c r="J12" i="17"/>
  <c r="J11" i="17"/>
  <c r="I10" i="17"/>
  <c r="H10" i="17"/>
  <c r="G10" i="17"/>
  <c r="F10" i="17"/>
  <c r="E10" i="17"/>
  <c r="D10" i="17"/>
  <c r="C10" i="17"/>
  <c r="J8" i="17"/>
  <c r="C79" i="12"/>
  <c r="C81" i="12" s="1"/>
  <c r="G78" i="12"/>
  <c r="H78" i="12" s="1"/>
  <c r="D78" i="12"/>
  <c r="E78" i="12" s="1"/>
  <c r="H77" i="12"/>
  <c r="E77" i="12"/>
  <c r="H76" i="12"/>
  <c r="E76" i="12"/>
  <c r="D75" i="12"/>
  <c r="E75" i="12" s="1"/>
  <c r="G74" i="12"/>
  <c r="D74" i="12"/>
  <c r="F73" i="12"/>
  <c r="H73" i="12" s="1"/>
  <c r="E73" i="12"/>
  <c r="H72" i="12"/>
  <c r="E72" i="12"/>
  <c r="C58" i="17" l="1"/>
  <c r="H58" i="17"/>
  <c r="H7" i="17" s="1"/>
  <c r="H9" i="17" s="1"/>
  <c r="H20" i="17" s="1"/>
  <c r="H41" i="17" s="1"/>
  <c r="G58" i="17"/>
  <c r="G70" i="17" s="1"/>
  <c r="J64" i="17"/>
  <c r="C29" i="17"/>
  <c r="J34" i="17"/>
  <c r="E58" i="17"/>
  <c r="E72" i="17" s="1"/>
  <c r="J53" i="17"/>
  <c r="D69" i="17"/>
  <c r="D27" i="17" s="1"/>
  <c r="D29" i="17" s="1"/>
  <c r="H69" i="17"/>
  <c r="H27" i="17" s="1"/>
  <c r="H29" i="17" s="1"/>
  <c r="H70" i="17"/>
  <c r="J23" i="17"/>
  <c r="I58" i="17"/>
  <c r="I70" i="17" s="1"/>
  <c r="J48" i="17"/>
  <c r="G39" i="17"/>
  <c r="F69" i="17"/>
  <c r="F27" i="17" s="1"/>
  <c r="F29" i="17" s="1"/>
  <c r="F39" i="17" s="1"/>
  <c r="D39" i="17"/>
  <c r="H39" i="17"/>
  <c r="D7" i="17"/>
  <c r="D9" i="17" s="1"/>
  <c r="D20" i="17" s="1"/>
  <c r="J30" i="17"/>
  <c r="J31" i="17"/>
  <c r="E69" i="17"/>
  <c r="E27" i="17" s="1"/>
  <c r="E29" i="17" s="1"/>
  <c r="E39" i="17" s="1"/>
  <c r="J60" i="17"/>
  <c r="J69" i="17" s="1"/>
  <c r="G79" i="12"/>
  <c r="G81" i="12" s="1"/>
  <c r="D79" i="12"/>
  <c r="D81" i="12" s="1"/>
  <c r="J15" i="17"/>
  <c r="J10" i="17"/>
  <c r="C39" i="17"/>
  <c r="J27" i="17"/>
  <c r="C7" i="17"/>
  <c r="C70" i="17"/>
  <c r="G7" i="17"/>
  <c r="G9" i="17" s="1"/>
  <c r="G20" i="17" s="1"/>
  <c r="G41" i="17" s="1"/>
  <c r="E7" i="17"/>
  <c r="E9" i="17" s="1"/>
  <c r="E20" i="17" s="1"/>
  <c r="E41" i="17" s="1"/>
  <c r="J28" i="17"/>
  <c r="F26" i="17"/>
  <c r="J26" i="17" s="1"/>
  <c r="D70" i="17"/>
  <c r="J14" i="17"/>
  <c r="J47" i="17"/>
  <c r="F79" i="12"/>
  <c r="E74" i="12"/>
  <c r="E79" i="12" s="1"/>
  <c r="E81" i="12" s="1"/>
  <c r="H75" i="12"/>
  <c r="E70" i="17" l="1"/>
  <c r="J29" i="17"/>
  <c r="J39" i="17" s="1"/>
  <c r="H72" i="17"/>
  <c r="D72" i="17"/>
  <c r="D41" i="17"/>
  <c r="J58" i="17"/>
  <c r="J70" i="17" s="1"/>
  <c r="J71" i="17" s="1"/>
  <c r="F72" i="17"/>
  <c r="I7" i="17"/>
  <c r="I9" i="17" s="1"/>
  <c r="I20" i="17" s="1"/>
  <c r="I41" i="17" s="1"/>
  <c r="F41" i="17"/>
  <c r="F70" i="17"/>
  <c r="D76" i="17"/>
  <c r="D78" i="17" s="1"/>
  <c r="J7" i="17"/>
  <c r="C9" i="17"/>
  <c r="H74" i="12"/>
  <c r="H79" i="12" s="1"/>
  <c r="H81" i="12" s="1"/>
  <c r="H82" i="12" s="1"/>
  <c r="J9" i="17" l="1"/>
  <c r="J20" i="17" s="1"/>
  <c r="C20" i="17"/>
  <c r="C41" i="17" s="1"/>
  <c r="J41" i="17" l="1"/>
  <c r="J42" i="17" s="1"/>
  <c r="C76" i="17" l="1"/>
  <c r="C79" i="17" l="1"/>
  <c r="C78" i="17"/>
  <c r="G98" i="25" l="1"/>
  <c r="G113" i="25"/>
  <c r="E62" i="59" l="1"/>
  <c r="E52" i="59"/>
  <c r="G63" i="59" l="1"/>
  <c r="G86" i="25" l="1"/>
  <c r="G103" i="25"/>
  <c r="I16" i="9" l="1"/>
  <c r="I17" i="9"/>
  <c r="I18" i="9"/>
  <c r="I19" i="9"/>
  <c r="I20" i="9"/>
  <c r="K14" i="9"/>
  <c r="K15" i="9"/>
  <c r="I13" i="9"/>
  <c r="K13" i="9" s="1"/>
  <c r="I14" i="9"/>
  <c r="J27" i="9"/>
  <c r="D27" i="9"/>
  <c r="E27" i="9"/>
  <c r="F27" i="9"/>
  <c r="G27" i="9"/>
  <c r="H27" i="9"/>
  <c r="I27" i="9"/>
  <c r="C27" i="9"/>
  <c r="M29" i="4" l="1"/>
  <c r="D28" i="4"/>
  <c r="M28" i="4" s="1"/>
  <c r="F26" i="4"/>
  <c r="E26" i="4"/>
  <c r="D26" i="4"/>
  <c r="D21" i="22" l="1"/>
  <c r="A21" i="22" s="1"/>
  <c r="C13" i="4" l="1"/>
  <c r="C15" i="4" s="1"/>
  <c r="C16" i="4" s="1"/>
  <c r="D94" i="4" l="1"/>
  <c r="C9" i="11" l="1"/>
  <c r="C10" i="11"/>
  <c r="C11" i="11"/>
  <c r="C6" i="11"/>
  <c r="C7" i="11"/>
  <c r="C8" i="11"/>
  <c r="C5" i="11"/>
  <c r="E38" i="18" l="1"/>
  <c r="E37" i="18" s="1"/>
  <c r="B105" i="27" l="1"/>
  <c r="C6" i="56" l="1"/>
  <c r="B10" i="26"/>
  <c r="B9" i="26"/>
  <c r="B8" i="26"/>
  <c r="C11" i="37"/>
  <c r="C10" i="37"/>
  <c r="C6" i="37"/>
  <c r="B8" i="37"/>
  <c r="B12" i="37" s="1"/>
  <c r="B13" i="37" s="1"/>
  <c r="B6" i="37"/>
  <c r="B5" i="37"/>
  <c r="B113" i="27"/>
  <c r="B104" i="27" s="1"/>
  <c r="B99" i="27"/>
  <c r="H68" i="27"/>
  <c r="H72" i="27" s="1"/>
  <c r="G68" i="27"/>
  <c r="G72" i="27" s="1"/>
  <c r="F68" i="27"/>
  <c r="F72" i="27" s="1"/>
  <c r="E68" i="27"/>
  <c r="E72" i="27" s="1"/>
  <c r="D68" i="27"/>
  <c r="D72" i="27" s="1"/>
  <c r="C68" i="27"/>
  <c r="C72" i="27" s="1"/>
  <c r="H67" i="27"/>
  <c r="H71" i="27" s="1"/>
  <c r="G67" i="27"/>
  <c r="G71" i="27" s="1"/>
  <c r="F67" i="27"/>
  <c r="F71" i="27" s="1"/>
  <c r="E67" i="27"/>
  <c r="E69" i="27" s="1"/>
  <c r="E73" i="27" s="1"/>
  <c r="D67" i="27"/>
  <c r="D71" i="27" s="1"/>
  <c r="C67" i="27"/>
  <c r="B48" i="27"/>
  <c r="B47" i="27"/>
  <c r="B44" i="27"/>
  <c r="B43" i="27"/>
  <c r="C42" i="27"/>
  <c r="B39" i="27"/>
  <c r="B37" i="27"/>
  <c r="B36" i="27"/>
  <c r="C35" i="27"/>
  <c r="C34" i="27"/>
  <c r="B33" i="27"/>
  <c r="B32" i="27"/>
  <c r="B8" i="27"/>
  <c r="B7" i="27"/>
  <c r="B5" i="27" s="1"/>
  <c r="C24" i="12"/>
  <c r="C22" i="12"/>
  <c r="C21" i="12"/>
  <c r="C20" i="12"/>
  <c r="C18" i="12"/>
  <c r="C10" i="12"/>
  <c r="C9" i="12" s="1"/>
  <c r="C23" i="12" l="1"/>
  <c r="C26" i="12" s="1"/>
  <c r="C27" i="12" s="1"/>
  <c r="B35" i="27"/>
  <c r="B42" i="27"/>
  <c r="B115" i="27"/>
  <c r="F69" i="27"/>
  <c r="F73" i="27" s="1"/>
  <c r="B7" i="26"/>
  <c r="C49" i="27"/>
  <c r="B31" i="27" s="1"/>
  <c r="B34" i="27" s="1"/>
  <c r="C69" i="27"/>
  <c r="C73" i="27" s="1"/>
  <c r="E71" i="27"/>
  <c r="G69" i="27"/>
  <c r="G73" i="27" s="1"/>
  <c r="D69" i="27"/>
  <c r="D73" i="27" s="1"/>
  <c r="H69" i="27"/>
  <c r="C71" i="27"/>
  <c r="B9" i="27"/>
  <c r="F24" i="4"/>
  <c r="E24" i="4"/>
  <c r="B49" i="27" l="1"/>
  <c r="C5" i="47"/>
  <c r="C12" i="47" s="1"/>
  <c r="B5" i="47"/>
  <c r="B12" i="47" s="1"/>
  <c r="B43" i="45"/>
  <c r="B38" i="45" s="1"/>
  <c r="B45" i="45" s="1"/>
  <c r="D19" i="3" l="1"/>
  <c r="B116" i="27" s="1"/>
  <c r="E21" i="8"/>
  <c r="D21" i="8"/>
  <c r="E27" i="18" l="1"/>
  <c r="I47" i="18" l="1"/>
  <c r="G42" i="18" l="1"/>
  <c r="E42" i="18"/>
  <c r="I45" i="18"/>
  <c r="I38" i="18"/>
  <c r="I35" i="18"/>
  <c r="H36" i="18"/>
  <c r="H46" i="18" s="1"/>
  <c r="H26" i="18"/>
  <c r="I29" i="18"/>
  <c r="I30" i="18"/>
  <c r="I31" i="18"/>
  <c r="I32" i="18"/>
  <c r="I28" i="18"/>
  <c r="I21" i="18"/>
  <c r="I22" i="18"/>
  <c r="I23" i="18"/>
  <c r="I24" i="18"/>
  <c r="I25" i="18"/>
  <c r="I16" i="18"/>
  <c r="E19" i="18"/>
  <c r="D20" i="18"/>
  <c r="I20" i="18" s="1"/>
  <c r="D19" i="18"/>
  <c r="G37" i="63" l="1"/>
  <c r="C37" i="63"/>
  <c r="D31" i="63"/>
  <c r="F30" i="63"/>
  <c r="F18" i="63" s="1"/>
  <c r="B30" i="63"/>
  <c r="I28" i="63"/>
  <c r="H28" i="63"/>
  <c r="H18" i="63" s="1"/>
  <c r="D28" i="63"/>
  <c r="C27" i="63"/>
  <c r="C26" i="63"/>
  <c r="E25" i="63"/>
  <c r="E18" i="63" s="1"/>
  <c r="C25" i="63"/>
  <c r="C24" i="63"/>
  <c r="G23" i="63"/>
  <c r="C23" i="63"/>
  <c r="C21" i="63"/>
  <c r="I20" i="63"/>
  <c r="I18" i="63" s="1"/>
  <c r="G19" i="63"/>
  <c r="G18" i="63" s="1"/>
  <c r="C19" i="63"/>
  <c r="B18" i="63"/>
  <c r="H16" i="63"/>
  <c r="H7" i="63" s="1"/>
  <c r="D16" i="63"/>
  <c r="H15" i="63"/>
  <c r="D15" i="63"/>
  <c r="I14" i="63"/>
  <c r="I7" i="63" s="1"/>
  <c r="E14" i="63"/>
  <c r="H13" i="63"/>
  <c r="F13" i="63"/>
  <c r="D13" i="63"/>
  <c r="B13" i="63"/>
  <c r="H12" i="63"/>
  <c r="E12" i="63"/>
  <c r="D12" i="63"/>
  <c r="B12" i="63"/>
  <c r="H10" i="63"/>
  <c r="E10" i="63"/>
  <c r="D10" i="63"/>
  <c r="D7" i="63" s="1"/>
  <c r="C10" i="63"/>
  <c r="C7" i="63" s="1"/>
  <c r="B10" i="63"/>
  <c r="H9" i="63"/>
  <c r="F9" i="63"/>
  <c r="D9" i="63"/>
  <c r="B9" i="63"/>
  <c r="H8" i="63"/>
  <c r="F8" i="63"/>
  <c r="F7" i="63" s="1"/>
  <c r="D8" i="63"/>
  <c r="B8" i="63"/>
  <c r="G7" i="63"/>
  <c r="E7" i="63"/>
  <c r="I6" i="63"/>
  <c r="H6" i="63"/>
  <c r="F6" i="63"/>
  <c r="E6" i="63"/>
  <c r="D6" i="63"/>
  <c r="B6" i="63"/>
  <c r="B7" i="63" l="1"/>
  <c r="D18" i="63"/>
  <c r="C18" i="63"/>
  <c r="I68" i="18" l="1"/>
  <c r="I67" i="18"/>
  <c r="I66" i="18"/>
  <c r="I65" i="18"/>
  <c r="I64" i="18"/>
  <c r="I63" i="18"/>
  <c r="I61" i="18"/>
  <c r="M84" i="4"/>
  <c r="M85" i="4"/>
  <c r="M86" i="4"/>
  <c r="M87" i="4"/>
  <c r="M88" i="4"/>
  <c r="M83" i="4"/>
  <c r="M78" i="4"/>
  <c r="M79" i="4"/>
  <c r="M76" i="4"/>
  <c r="M77" i="4"/>
  <c r="M75" i="4"/>
  <c r="M74" i="4"/>
  <c r="M73" i="4"/>
  <c r="M72" i="4"/>
  <c r="M71" i="4"/>
  <c r="M67" i="4"/>
  <c r="M68" i="4"/>
  <c r="M69" i="4"/>
  <c r="M70" i="4"/>
  <c r="M66" i="4"/>
  <c r="M65" i="4"/>
  <c r="M64" i="4"/>
  <c r="M63" i="4"/>
  <c r="M62" i="4"/>
  <c r="M60" i="4"/>
  <c r="M58" i="4"/>
  <c r="D85" i="12" l="1"/>
  <c r="C85" i="12"/>
  <c r="C116" i="4"/>
  <c r="E116" i="4"/>
  <c r="E119" i="4" s="1"/>
  <c r="D10" i="4"/>
  <c r="D13" i="4" s="1"/>
  <c r="D15" i="4" s="1"/>
  <c r="D16" i="4" s="1"/>
  <c r="C4" i="23"/>
  <c r="B4" i="23"/>
  <c r="C6" i="45"/>
  <c r="C28" i="45" s="1"/>
  <c r="B6" i="45"/>
  <c r="B28" i="45" s="1"/>
  <c r="C5" i="24"/>
  <c r="D31" i="24" s="1"/>
  <c r="B5" i="24"/>
  <c r="B31" i="24" s="1"/>
  <c r="C11" i="26"/>
  <c r="C12" i="26" s="1"/>
  <c r="C7" i="26"/>
  <c r="C4" i="37"/>
  <c r="B4" i="37"/>
  <c r="D86" i="27"/>
  <c r="E86" i="27"/>
  <c r="F86" i="27"/>
  <c r="G86" i="27"/>
  <c r="H86" i="27"/>
  <c r="C4" i="27"/>
  <c r="C118" i="27" s="1"/>
  <c r="B4" i="27"/>
  <c r="B14" i="27" s="1"/>
  <c r="C119" i="4" l="1"/>
  <c r="D116" i="4"/>
  <c r="B20" i="24"/>
  <c r="C20" i="24"/>
  <c r="C14" i="27"/>
  <c r="B96" i="27"/>
  <c r="B37" i="23"/>
  <c r="C96" i="27"/>
  <c r="B118" i="27"/>
  <c r="C37" i="23"/>
  <c r="B103" i="27"/>
  <c r="C103" i="27"/>
  <c r="C16" i="59"/>
  <c r="B16" i="59"/>
  <c r="H36" i="22"/>
  <c r="B30" i="22"/>
  <c r="C27" i="22"/>
  <c r="D27" i="22" s="1"/>
  <c r="D30" i="22" s="1"/>
  <c r="D12" i="50"/>
  <c r="H80" i="18"/>
  <c r="H54" i="18"/>
  <c r="H69" i="18" s="1"/>
  <c r="D115" i="4" l="1"/>
  <c r="D117" i="4"/>
  <c r="D118" i="4"/>
  <c r="H81" i="18"/>
  <c r="H15" i="18"/>
  <c r="H17" i="18" s="1"/>
  <c r="C30" i="22"/>
  <c r="D5" i="12"/>
  <c r="D17" i="12" s="1"/>
  <c r="C5" i="12"/>
  <c r="C17" i="12" s="1"/>
  <c r="C5" i="10"/>
  <c r="C22" i="10" s="1"/>
  <c r="B5" i="10"/>
  <c r="B22" i="10" s="1"/>
  <c r="C5" i="5"/>
  <c r="C21" i="5" s="1"/>
  <c r="B5" i="5"/>
  <c r="B21" i="5" s="1"/>
  <c r="E68" i="23" l="1"/>
  <c r="E67" i="23"/>
  <c r="D66" i="23"/>
  <c r="D51" i="23" s="1"/>
  <c r="D57" i="23" s="1"/>
  <c r="C66" i="23"/>
  <c r="C51" i="23" s="1"/>
  <c r="C57" i="23" s="1"/>
  <c r="E65" i="23"/>
  <c r="E64" i="23"/>
  <c r="E63" i="23"/>
  <c r="E62" i="23"/>
  <c r="E61" i="23"/>
  <c r="B66" i="23"/>
  <c r="B51" i="23" s="1"/>
  <c r="E60" i="23"/>
  <c r="E59" i="23"/>
  <c r="E58" i="23"/>
  <c r="E53" i="23"/>
  <c r="E52" i="23"/>
  <c r="E66" i="23" l="1"/>
  <c r="E51" i="23"/>
  <c r="B57" i="23"/>
  <c r="E57" i="23" s="1"/>
  <c r="B21" i="23" l="1"/>
  <c r="B28" i="23"/>
  <c r="C28" i="23"/>
  <c r="C17" i="23" s="1"/>
  <c r="C21" i="23" s="1"/>
  <c r="D28" i="23"/>
  <c r="D17" i="23" s="1"/>
  <c r="D21" i="23" s="1"/>
  <c r="D23" i="23" s="1"/>
  <c r="E28" i="23"/>
  <c r="E17" i="23" s="1"/>
  <c r="E21" i="23" s="1"/>
  <c r="E23" i="23" s="1"/>
  <c r="B4" i="47"/>
  <c r="C4" i="47"/>
  <c r="B11" i="26" l="1"/>
  <c r="B12" i="26" s="1"/>
  <c r="C38" i="24" l="1"/>
  <c r="C43" i="23" l="1"/>
  <c r="B43" i="23"/>
  <c r="C9" i="23"/>
  <c r="B9" i="23"/>
  <c r="B11" i="23" s="1"/>
  <c r="C82" i="12"/>
  <c r="D23" i="12" l="1"/>
  <c r="D9" i="12"/>
  <c r="D6" i="12"/>
  <c r="C6" i="12"/>
  <c r="D26" i="12" l="1"/>
  <c r="D27" i="12" s="1"/>
  <c r="C12" i="12"/>
  <c r="D12" i="12"/>
  <c r="D13" i="12" s="1"/>
  <c r="D89" i="12"/>
  <c r="C13" i="12" l="1"/>
  <c r="C28" i="12"/>
  <c r="D28" i="12"/>
  <c r="C89" i="12"/>
  <c r="D21" i="11"/>
  <c r="D22" i="11" s="1"/>
  <c r="C21" i="11"/>
  <c r="C22" i="11" s="1"/>
  <c r="D13" i="53"/>
  <c r="E13" i="53"/>
  <c r="I76" i="18" l="1"/>
  <c r="I74" i="18"/>
  <c r="I72" i="18"/>
  <c r="I70" i="18"/>
  <c r="I55" i="18"/>
  <c r="I53" i="18"/>
  <c r="I56" i="18"/>
  <c r="I57" i="18"/>
  <c r="I58" i="18"/>
  <c r="I59" i="18"/>
  <c r="I60" i="18"/>
  <c r="I42" i="18"/>
  <c r="I27" i="18"/>
  <c r="H18" i="18"/>
  <c r="I19" i="18"/>
  <c r="G82" i="4"/>
  <c r="M82" i="4" s="1"/>
  <c r="H33" i="18" l="1"/>
  <c r="H48" i="18" s="1"/>
  <c r="N37" i="4"/>
  <c r="C38" i="45" l="1"/>
  <c r="C29" i="45"/>
  <c r="B21" i="45"/>
  <c r="H19" i="45"/>
  <c r="G19" i="45"/>
  <c r="F19" i="45"/>
  <c r="E19" i="45"/>
  <c r="D19" i="45"/>
  <c r="C19" i="45"/>
  <c r="C7" i="45"/>
  <c r="C10" i="45" s="1"/>
  <c r="B7" i="45"/>
  <c r="B10" i="45" s="1"/>
  <c r="E38" i="24"/>
  <c r="C22" i="24"/>
  <c r="C26" i="24" s="1"/>
  <c r="B22" i="24"/>
  <c r="B26" i="24" s="1"/>
  <c r="C13" i="24"/>
  <c r="C16" i="24" s="1"/>
  <c r="B13" i="24"/>
  <c r="C12" i="37"/>
  <c r="C13" i="37" s="1"/>
  <c r="C104" i="27"/>
  <c r="C99" i="27"/>
  <c r="H89" i="27"/>
  <c r="G89" i="27"/>
  <c r="F89" i="27"/>
  <c r="E89" i="27"/>
  <c r="D89" i="27"/>
  <c r="C89" i="27"/>
  <c r="H88" i="27"/>
  <c r="G88" i="27"/>
  <c r="F88" i="27"/>
  <c r="E88" i="27"/>
  <c r="D88" i="27"/>
  <c r="C88" i="27"/>
  <c r="G90" i="27"/>
  <c r="F90" i="27"/>
  <c r="E90" i="27"/>
  <c r="D90" i="27"/>
  <c r="C86" i="27"/>
  <c r="C90" i="27" s="1"/>
  <c r="B85" i="27"/>
  <c r="B89" i="27" s="1"/>
  <c r="B84" i="27"/>
  <c r="H82" i="27"/>
  <c r="H90" i="27" s="1"/>
  <c r="B80" i="27"/>
  <c r="B82" i="27" s="1"/>
  <c r="B68" i="27"/>
  <c r="B72" i="27" s="1"/>
  <c r="B67" i="27"/>
  <c r="H65" i="27"/>
  <c r="H73" i="27" s="1"/>
  <c r="B63" i="27"/>
  <c r="B65" i="27" s="1"/>
  <c r="C23" i="27"/>
  <c r="B23" i="27"/>
  <c r="C17" i="27"/>
  <c r="B17" i="27"/>
  <c r="C5" i="27"/>
  <c r="C10" i="27" s="1"/>
  <c r="C34" i="10"/>
  <c r="C35" i="10" s="1"/>
  <c r="B34" i="10"/>
  <c r="B35" i="10" s="1"/>
  <c r="C18" i="10"/>
  <c r="C19" i="10" s="1"/>
  <c r="B18" i="10"/>
  <c r="B19" i="10" s="1"/>
  <c r="C31" i="5"/>
  <c r="C32" i="5" s="1"/>
  <c r="B31" i="5"/>
  <c r="B32" i="5" s="1"/>
  <c r="C115" i="27" l="1"/>
  <c r="C116" i="27"/>
  <c r="C45" i="45"/>
  <c r="C46" i="45" s="1"/>
  <c r="B19" i="45"/>
  <c r="I19" i="45" s="1"/>
  <c r="C39" i="24"/>
  <c r="B16" i="24"/>
  <c r="B119" i="27"/>
  <c r="B121" i="27" s="1"/>
  <c r="B69" i="27"/>
  <c r="B73" i="27" s="1"/>
  <c r="B74" i="27" s="1"/>
  <c r="B10" i="27"/>
  <c r="I16" i="45"/>
  <c r="E39" i="24"/>
  <c r="B29" i="27"/>
  <c r="B51" i="27" s="1"/>
  <c r="C9" i="27"/>
  <c r="C29" i="27"/>
  <c r="C51" i="27" s="1"/>
  <c r="B46" i="45"/>
  <c r="C18" i="5"/>
  <c r="C19" i="5" s="1"/>
  <c r="B18" i="5"/>
  <c r="B19" i="5" s="1"/>
  <c r="B27" i="24"/>
  <c r="C27" i="24"/>
  <c r="C119" i="27"/>
  <c r="C123" i="27" s="1"/>
  <c r="B88" i="27"/>
  <c r="B86" i="27"/>
  <c r="B90" i="27" s="1"/>
  <c r="B91" i="27" s="1"/>
  <c r="B71" i="27"/>
  <c r="C54" i="27" l="1"/>
  <c r="C57" i="27"/>
  <c r="B54" i="27"/>
  <c r="B57" i="27"/>
  <c r="B123" i="27"/>
  <c r="N38" i="4"/>
  <c r="N31" i="4"/>
  <c r="N30" i="4"/>
  <c r="N29" i="4"/>
  <c r="N28" i="4"/>
  <c r="N51" i="4"/>
  <c r="N86" i="4"/>
  <c r="I12" i="9" l="1"/>
  <c r="I15" i="9"/>
  <c r="G105" i="25" l="1"/>
  <c r="C12" i="50"/>
  <c r="G60" i="59"/>
  <c r="F60" i="59"/>
  <c r="E60" i="59"/>
  <c r="D60" i="59"/>
  <c r="C60" i="59"/>
  <c r="B60" i="59"/>
  <c r="G51" i="59"/>
  <c r="F51" i="59"/>
  <c r="E51" i="59"/>
  <c r="D51" i="59"/>
  <c r="C51" i="59"/>
  <c r="B51" i="59"/>
  <c r="B16" i="22" l="1"/>
  <c r="D13" i="22"/>
  <c r="D16" i="22" s="1"/>
  <c r="C16" i="22" l="1"/>
  <c r="C10" i="36" l="1"/>
  <c r="C4" i="60"/>
  <c r="B4" i="60"/>
  <c r="D63" i="25"/>
  <c r="D120" i="25" s="1"/>
  <c r="C63" i="25"/>
  <c r="C120" i="25" s="1"/>
  <c r="D48" i="25"/>
  <c r="C48" i="25"/>
  <c r="G30" i="25"/>
  <c r="G29" i="25"/>
  <c r="D5" i="11" l="1"/>
  <c r="J37" i="9"/>
  <c r="I29" i="9"/>
  <c r="K29" i="9" s="1"/>
  <c r="I30" i="9"/>
  <c r="K30" i="9" s="1"/>
  <c r="I31" i="9"/>
  <c r="K31" i="9" s="1"/>
  <c r="I32" i="9"/>
  <c r="K32" i="9" s="1"/>
  <c r="I33" i="9"/>
  <c r="K33" i="9" s="1"/>
  <c r="I34" i="9"/>
  <c r="K34" i="9" s="1"/>
  <c r="I35" i="9"/>
  <c r="K35" i="9" s="1"/>
  <c r="I36" i="9"/>
  <c r="K36" i="9" s="1"/>
  <c r="I28" i="9"/>
  <c r="K28" i="9" s="1"/>
  <c r="K27" i="9"/>
  <c r="K24" i="9"/>
  <c r="H37" i="9"/>
  <c r="F37" i="9"/>
  <c r="G37" i="9"/>
  <c r="E37" i="9"/>
  <c r="D37" i="9"/>
  <c r="C37" i="9"/>
  <c r="G5" i="9" l="1"/>
  <c r="I37" i="9"/>
  <c r="K37" i="9" s="1"/>
  <c r="E26" i="18" l="1"/>
  <c r="D17" i="22" l="1"/>
  <c r="B8" i="22"/>
  <c r="C8" i="22"/>
  <c r="D4" i="56" l="1"/>
  <c r="C4" i="56"/>
  <c r="C23" i="60" l="1"/>
  <c r="C24" i="60" s="1"/>
  <c r="B23" i="60"/>
  <c r="C11" i="60"/>
  <c r="C14" i="60" s="1"/>
  <c r="B11" i="60"/>
  <c r="B14" i="60" s="1"/>
  <c r="C18" i="60"/>
  <c r="B18" i="60"/>
  <c r="D135" i="25"/>
  <c r="D124" i="25"/>
  <c r="D125" i="25" s="1"/>
  <c r="C124" i="25"/>
  <c r="C125" i="25" s="1"/>
  <c r="D129" i="25"/>
  <c r="C129" i="25"/>
  <c r="G117" i="25"/>
  <c r="F117" i="25"/>
  <c r="G116" i="25"/>
  <c r="F116" i="25"/>
  <c r="G114" i="25"/>
  <c r="G112" i="25"/>
  <c r="G111" i="25"/>
  <c r="G110" i="25"/>
  <c r="G109" i="25"/>
  <c r="G107" i="25"/>
  <c r="F106" i="25"/>
  <c r="E106" i="25"/>
  <c r="D106" i="25"/>
  <c r="C106" i="25"/>
  <c r="G104" i="25"/>
  <c r="G102" i="25"/>
  <c r="G101" i="25"/>
  <c r="G100" i="25"/>
  <c r="G99" i="25"/>
  <c r="G97" i="25"/>
  <c r="F96" i="25"/>
  <c r="E96" i="25"/>
  <c r="D96" i="25"/>
  <c r="C96" i="25"/>
  <c r="G95" i="25"/>
  <c r="G93" i="25"/>
  <c r="G92" i="25"/>
  <c r="G91" i="25"/>
  <c r="G90" i="25"/>
  <c r="G89" i="25"/>
  <c r="G88" i="25"/>
  <c r="G87" i="25"/>
  <c r="G85" i="25"/>
  <c r="F84" i="25"/>
  <c r="E84" i="25"/>
  <c r="D84" i="25"/>
  <c r="C84" i="25"/>
  <c r="G83" i="25"/>
  <c r="G82" i="25"/>
  <c r="G81" i="25"/>
  <c r="G80" i="25"/>
  <c r="G79" i="25"/>
  <c r="G77" i="25"/>
  <c r="G76" i="25"/>
  <c r="F75" i="25"/>
  <c r="E75" i="25"/>
  <c r="D75" i="25"/>
  <c r="C75" i="25"/>
  <c r="D68" i="25"/>
  <c r="C68" i="25"/>
  <c r="D58" i="25"/>
  <c r="C58" i="25"/>
  <c r="D53" i="25"/>
  <c r="C53" i="25"/>
  <c r="D50" i="25"/>
  <c r="C50" i="25"/>
  <c r="E44" i="25"/>
  <c r="C44" i="25"/>
  <c r="G32" i="25"/>
  <c r="G31" i="25"/>
  <c r="G28" i="25"/>
  <c r="G27" i="25"/>
  <c r="E23" i="25"/>
  <c r="C23" i="25"/>
  <c r="G11" i="25"/>
  <c r="G10" i="25"/>
  <c r="G9" i="25"/>
  <c r="G8" i="25"/>
  <c r="C4" i="11"/>
  <c r="D4" i="11"/>
  <c r="D6" i="11"/>
  <c r="D7" i="11"/>
  <c r="D8" i="11"/>
  <c r="D9" i="11"/>
  <c r="D10" i="11"/>
  <c r="D11" i="11"/>
  <c r="C12" i="11"/>
  <c r="D12" i="11"/>
  <c r="C18" i="11"/>
  <c r="D18" i="11"/>
  <c r="D13" i="11" l="1"/>
  <c r="D14" i="11" s="1"/>
  <c r="D18" i="25"/>
  <c r="D22" i="25"/>
  <c r="D17" i="25"/>
  <c r="D20" i="25"/>
  <c r="D21" i="25"/>
  <c r="F18" i="25"/>
  <c r="D19" i="25"/>
  <c r="F19" i="25"/>
  <c r="F17" i="25"/>
  <c r="E115" i="25"/>
  <c r="E74" i="25" s="1"/>
  <c r="E94" i="25" s="1"/>
  <c r="G106" i="25"/>
  <c r="F43" i="25"/>
  <c r="F39" i="25"/>
  <c r="D43" i="25"/>
  <c r="D39" i="25"/>
  <c r="C130" i="25"/>
  <c r="C135" i="25" s="1"/>
  <c r="C136" i="25" s="1"/>
  <c r="D136" i="25"/>
  <c r="F44" i="25"/>
  <c r="D115" i="25"/>
  <c r="D74" i="25" s="1"/>
  <c r="D94" i="25" s="1"/>
  <c r="F115" i="25"/>
  <c r="F74" i="25" s="1"/>
  <c r="F94" i="25" s="1"/>
  <c r="G75" i="25"/>
  <c r="G84" i="25"/>
  <c r="C13" i="11"/>
  <c r="G96" i="25"/>
  <c r="C115" i="25"/>
  <c r="C74" i="25" s="1"/>
  <c r="C94" i="25" s="1"/>
  <c r="D57" i="25"/>
  <c r="C49" i="25" s="1"/>
  <c r="C57" i="25" s="1"/>
  <c r="B24" i="60"/>
  <c r="D44" i="25"/>
  <c r="C14" i="11" l="1"/>
  <c r="D23" i="25"/>
  <c r="F23" i="25"/>
  <c r="G74" i="25"/>
  <c r="G94" i="25" s="1"/>
  <c r="G115" i="25"/>
  <c r="I49" i="18" l="1"/>
  <c r="I10" i="9" l="1"/>
  <c r="K10" i="9" s="1"/>
  <c r="K16" i="9" l="1"/>
  <c r="I11" i="9" l="1"/>
  <c r="K11" i="9" s="1"/>
  <c r="C68" i="36" l="1"/>
  <c r="C58" i="36"/>
  <c r="C48" i="36"/>
  <c r="C44" i="36"/>
  <c r="C43" i="36" s="1"/>
  <c r="C36" i="36"/>
  <c r="C26" i="36"/>
  <c r="C16" i="36"/>
  <c r="C11" i="36"/>
  <c r="C20" i="35"/>
  <c r="C12" i="35"/>
  <c r="C37" i="31"/>
  <c r="C29" i="31"/>
  <c r="C41" i="31"/>
  <c r="C47" i="31"/>
  <c r="B84" i="59"/>
  <c r="C34" i="59"/>
  <c r="B13" i="59"/>
  <c r="B14" i="59" s="1"/>
  <c r="C13" i="59"/>
  <c r="C14" i="59" s="1"/>
  <c r="D75" i="18"/>
  <c r="E75" i="18"/>
  <c r="F75" i="18"/>
  <c r="G75" i="18"/>
  <c r="C75" i="18"/>
  <c r="I75" i="18" s="1"/>
  <c r="D71" i="18"/>
  <c r="E71" i="18"/>
  <c r="F71" i="18"/>
  <c r="G71" i="18"/>
  <c r="C71" i="18"/>
  <c r="I73" i="18"/>
  <c r="I77" i="18"/>
  <c r="I78" i="18"/>
  <c r="I79" i="18"/>
  <c r="D62" i="18"/>
  <c r="E62" i="18"/>
  <c r="F62" i="18"/>
  <c r="G62" i="18"/>
  <c r="C62" i="18"/>
  <c r="D54" i="18"/>
  <c r="E54" i="18"/>
  <c r="F54" i="18"/>
  <c r="G54" i="18"/>
  <c r="C54" i="18"/>
  <c r="I62" i="18" l="1"/>
  <c r="I54" i="18"/>
  <c r="I71" i="18"/>
  <c r="C69" i="18"/>
  <c r="F69" i="18"/>
  <c r="C80" i="18"/>
  <c r="G80" i="18"/>
  <c r="D80" i="18"/>
  <c r="E69" i="18"/>
  <c r="D69" i="18"/>
  <c r="F80" i="18"/>
  <c r="E80" i="18"/>
  <c r="G69" i="18"/>
  <c r="D42" i="6"/>
  <c r="D37" i="6"/>
  <c r="D30" i="6"/>
  <c r="D24" i="6"/>
  <c r="D6" i="6"/>
  <c r="E13" i="8"/>
  <c r="E4" i="8"/>
  <c r="E3" i="8" s="1"/>
  <c r="E15" i="3"/>
  <c r="E3" i="3"/>
  <c r="E4" i="53"/>
  <c r="E7" i="7"/>
  <c r="E3" i="7"/>
  <c r="N58" i="4" s="1"/>
  <c r="E32" i="8" l="1"/>
  <c r="E31" i="8"/>
  <c r="D81" i="18"/>
  <c r="C81" i="18"/>
  <c r="I80" i="18"/>
  <c r="I69" i="18"/>
  <c r="N78" i="4"/>
  <c r="F81" i="18"/>
  <c r="N60" i="4"/>
  <c r="E81" i="18"/>
  <c r="G81" i="18"/>
  <c r="E27" i="3"/>
  <c r="N75" i="4" s="1"/>
  <c r="E16" i="7"/>
  <c r="D52" i="6"/>
  <c r="D35" i="6"/>
  <c r="I81" i="18" l="1"/>
  <c r="E21" i="7"/>
  <c r="E26" i="7" s="1"/>
  <c r="D5" i="6" s="1"/>
  <c r="D19" i="6" s="1"/>
  <c r="D22" i="6" s="1"/>
  <c r="D53" i="6" s="1"/>
  <c r="D57" i="6" s="1"/>
  <c r="D54" i="6" s="1"/>
  <c r="N62" i="4"/>
  <c r="J81" i="18"/>
  <c r="D9" i="56"/>
  <c r="C9" i="56"/>
  <c r="E29" i="7" l="1"/>
  <c r="E31" i="7" s="1"/>
  <c r="N71" i="4"/>
  <c r="C6" i="6"/>
  <c r="E41" i="7" l="1"/>
  <c r="E40" i="7"/>
  <c r="E3" i="53"/>
  <c r="E17" i="53" s="1"/>
  <c r="E19" i="53" s="1"/>
  <c r="E37" i="7"/>
  <c r="E34" i="7"/>
  <c r="N74" i="4" s="1"/>
  <c r="E38" i="7"/>
  <c r="C74" i="59" l="1"/>
  <c r="E74" i="59"/>
  <c r="B74" i="59"/>
  <c r="B92" i="59" s="1"/>
  <c r="A47" i="59"/>
  <c r="A72" i="59"/>
  <c r="I21" i="9" l="1"/>
  <c r="K20" i="9" l="1"/>
  <c r="C24" i="59" l="1"/>
  <c r="C37" i="59" s="1"/>
  <c r="E36" i="43"/>
  <c r="E35" i="43"/>
  <c r="E34" i="43"/>
  <c r="E33" i="43"/>
  <c r="E32" i="43"/>
  <c r="D31" i="43"/>
  <c r="C31" i="43"/>
  <c r="B31" i="43"/>
  <c r="E30" i="43"/>
  <c r="E29" i="43"/>
  <c r="E28" i="43"/>
  <c r="D25" i="43"/>
  <c r="B25" i="43"/>
  <c r="C25" i="59" l="1"/>
  <c r="B37" i="43"/>
  <c r="C25" i="43"/>
  <c r="C37" i="43" s="1"/>
  <c r="D37" i="43"/>
  <c r="C6" i="35" l="1"/>
  <c r="C17" i="35" s="1"/>
  <c r="B6" i="35"/>
  <c r="B17" i="35" s="1"/>
  <c r="D34" i="50"/>
  <c r="D24" i="50"/>
  <c r="D19" i="50"/>
  <c r="E34" i="18"/>
  <c r="E36" i="18" s="1"/>
  <c r="D29" i="50" l="1"/>
  <c r="C8" i="36"/>
  <c r="F5" i="9"/>
  <c r="D36" i="50" l="1"/>
  <c r="C18" i="50"/>
  <c r="C15" i="47"/>
  <c r="B36" i="36" l="1"/>
  <c r="B43" i="36" l="1"/>
  <c r="B58" i="36"/>
  <c r="B48" i="36"/>
  <c r="B26" i="36"/>
  <c r="G18" i="18"/>
  <c r="E8" i="43"/>
  <c r="B11" i="36"/>
  <c r="B20" i="64"/>
  <c r="C20" i="64" s="1"/>
  <c r="G84" i="59"/>
  <c r="F84" i="59"/>
  <c r="E84" i="59"/>
  <c r="D84" i="59"/>
  <c r="C84" i="59"/>
  <c r="G74" i="59"/>
  <c r="F74" i="59"/>
  <c r="B34" i="59"/>
  <c r="B24" i="59"/>
  <c r="B25" i="59" s="1"/>
  <c r="C7" i="22"/>
  <c r="B7" i="22"/>
  <c r="B20" i="35"/>
  <c r="B12" i="35"/>
  <c r="D14" i="31"/>
  <c r="D25" i="31"/>
  <c r="D18" i="31"/>
  <c r="D29" i="31" s="1"/>
  <c r="D5" i="31"/>
  <c r="B4" i="36"/>
  <c r="B10" i="36"/>
  <c r="B16" i="36"/>
  <c r="B68" i="36"/>
  <c r="C5" i="31"/>
  <c r="C14" i="31"/>
  <c r="C18" i="31"/>
  <c r="C25" i="31"/>
  <c r="C53" i="31"/>
  <c r="C59" i="31"/>
  <c r="B5" i="34"/>
  <c r="C5" i="34"/>
  <c r="B6" i="34"/>
  <c r="C6" i="34"/>
  <c r="B7" i="34"/>
  <c r="C7" i="34"/>
  <c r="B8" i="34"/>
  <c r="C8" i="34"/>
  <c r="B12" i="23"/>
  <c r="C12" i="23"/>
  <c r="B46" i="23"/>
  <c r="C46" i="23"/>
  <c r="D69" i="23"/>
  <c r="D70" i="23"/>
  <c r="B7" i="43"/>
  <c r="C7" i="43"/>
  <c r="D7" i="43"/>
  <c r="E9" i="43"/>
  <c r="E10" i="43"/>
  <c r="E11" i="43"/>
  <c r="E12" i="43"/>
  <c r="B13" i="43"/>
  <c r="C13" i="43"/>
  <c r="D13" i="43"/>
  <c r="E14" i="43"/>
  <c r="E15" i="43"/>
  <c r="E16" i="43"/>
  <c r="E17" i="43"/>
  <c r="E18" i="43"/>
  <c r="C6" i="50"/>
  <c r="D6" i="50"/>
  <c r="D13" i="50"/>
  <c r="C17" i="50"/>
  <c r="D17" i="50"/>
  <c r="C19" i="50"/>
  <c r="C24" i="50"/>
  <c r="C6" i="18"/>
  <c r="D6" i="18"/>
  <c r="D9" i="18"/>
  <c r="D10" i="18" s="1"/>
  <c r="C18" i="18"/>
  <c r="D18" i="18"/>
  <c r="F18" i="18"/>
  <c r="E18" i="18"/>
  <c r="C26" i="18"/>
  <c r="D26" i="18"/>
  <c r="F26" i="18"/>
  <c r="G26" i="18"/>
  <c r="F37" i="18"/>
  <c r="F41" i="18"/>
  <c r="C37" i="18"/>
  <c r="D37" i="18"/>
  <c r="G37" i="18"/>
  <c r="I39" i="18"/>
  <c r="I40" i="18"/>
  <c r="C41" i="18"/>
  <c r="D41" i="18"/>
  <c r="E41" i="18"/>
  <c r="G41" i="18"/>
  <c r="I43" i="18"/>
  <c r="I44" i="18"/>
  <c r="C34" i="18"/>
  <c r="C5" i="14"/>
  <c r="D5" i="14"/>
  <c r="C7" i="14"/>
  <c r="D7" i="14"/>
  <c r="C9" i="14"/>
  <c r="D9" i="14"/>
  <c r="C16" i="14"/>
  <c r="D16" i="14"/>
  <c r="C18" i="14"/>
  <c r="C22" i="14" s="1"/>
  <c r="D18" i="14"/>
  <c r="D22" i="14" s="1"/>
  <c r="C3" i="6"/>
  <c r="D3" i="6"/>
  <c r="C24" i="6"/>
  <c r="C30" i="6"/>
  <c r="C37" i="6"/>
  <c r="C42" i="6"/>
  <c r="D26" i="64"/>
  <c r="E26" i="64" s="1"/>
  <c r="C5" i="9"/>
  <c r="I6" i="9"/>
  <c r="K6" i="9" s="1"/>
  <c r="I7" i="9"/>
  <c r="K7" i="9" s="1"/>
  <c r="H8" i="9"/>
  <c r="H22" i="9" s="1"/>
  <c r="I9" i="9"/>
  <c r="K9" i="9" s="1"/>
  <c r="K12" i="9"/>
  <c r="K17" i="9"/>
  <c r="K18" i="9"/>
  <c r="K19" i="9"/>
  <c r="K21" i="9"/>
  <c r="D5" i="9"/>
  <c r="D8" i="9" s="1"/>
  <c r="D22" i="9" s="1"/>
  <c r="J5" i="9"/>
  <c r="J8" i="9" s="1"/>
  <c r="J22" i="9" s="1"/>
  <c r="F8" i="9"/>
  <c r="F22" i="9" s="1"/>
  <c r="D4" i="8"/>
  <c r="D3" i="8" s="1"/>
  <c r="D13" i="8"/>
  <c r="D3" i="3"/>
  <c r="D15" i="3"/>
  <c r="B17" i="64" s="1"/>
  <c r="C17" i="64" s="1"/>
  <c r="D17" i="64"/>
  <c r="E17" i="64" s="1"/>
  <c r="D2" i="53"/>
  <c r="E2" i="53"/>
  <c r="D4" i="53"/>
  <c r="D2" i="7"/>
  <c r="E2" i="7"/>
  <c r="D3" i="7"/>
  <c r="N23" i="4" s="1"/>
  <c r="D7" i="7"/>
  <c r="B4" i="64"/>
  <c r="D4" i="64"/>
  <c r="C12" i="64"/>
  <c r="E16" i="2"/>
  <c r="D7" i="64"/>
  <c r="E7" i="64" s="1"/>
  <c r="E12" i="64"/>
  <c r="D19" i="64"/>
  <c r="E19" i="64" s="1"/>
  <c r="C31" i="50"/>
  <c r="C34" i="50" s="1"/>
  <c r="E46" i="18"/>
  <c r="D20" i="64"/>
  <c r="E20" i="64" s="1"/>
  <c r="D16" i="64"/>
  <c r="E16" i="64" s="1"/>
  <c r="B37" i="59" l="1"/>
  <c r="D32" i="8"/>
  <c r="D31" i="8"/>
  <c r="I41" i="18"/>
  <c r="C36" i="18"/>
  <c r="I37" i="18"/>
  <c r="I26" i="18"/>
  <c r="I18" i="18"/>
  <c r="N44" i="4"/>
  <c r="N25" i="4"/>
  <c r="B15" i="47"/>
  <c r="B8" i="64"/>
  <c r="C8" i="64" s="1"/>
  <c r="C52" i="6"/>
  <c r="B26" i="64" s="1"/>
  <c r="C26" i="64" s="1"/>
  <c r="B19" i="64"/>
  <c r="C19" i="64" s="1"/>
  <c r="D27" i="3"/>
  <c r="N41" i="4" s="1"/>
  <c r="B7" i="64"/>
  <c r="C7" i="64" s="1"/>
  <c r="F92" i="59"/>
  <c r="F48" i="59" s="1"/>
  <c r="F50" i="59" s="1"/>
  <c r="F68" i="59" s="1"/>
  <c r="D19" i="43"/>
  <c r="C19" i="43"/>
  <c r="B9" i="34"/>
  <c r="C9" i="34"/>
  <c r="E70" i="23"/>
  <c r="B8" i="36"/>
  <c r="B19" i="43"/>
  <c r="E7" i="43"/>
  <c r="D34" i="18"/>
  <c r="D36" i="18" s="1"/>
  <c r="D46" i="18" s="1"/>
  <c r="C46" i="18"/>
  <c r="C35" i="6"/>
  <c r="D8" i="64"/>
  <c r="E8" i="64" s="1"/>
  <c r="E69" i="23"/>
  <c r="C8" i="9"/>
  <c r="D9" i="64"/>
  <c r="E9" i="64" s="1"/>
  <c r="B16" i="64"/>
  <c r="C16" i="64" s="1"/>
  <c r="D92" i="59"/>
  <c r="D48" i="59" s="1"/>
  <c r="D50" i="59" s="1"/>
  <c r="D68" i="59" s="1"/>
  <c r="G92" i="59"/>
  <c r="G48" i="59" s="1"/>
  <c r="G50" i="59" s="1"/>
  <c r="G68" i="59" s="1"/>
  <c r="E92" i="59"/>
  <c r="E48" i="59" s="1"/>
  <c r="E50" i="59" s="1"/>
  <c r="E68" i="59" s="1"/>
  <c r="D18" i="64"/>
  <c r="E18" i="64" s="1"/>
  <c r="E5" i="9"/>
  <c r="I5" i="9" s="1"/>
  <c r="K5" i="9" s="1"/>
  <c r="B18" i="64"/>
  <c r="B21" i="64" s="1"/>
  <c r="C21" i="64" s="1"/>
  <c r="D25" i="64"/>
  <c r="E25" i="64" s="1"/>
  <c r="E13" i="43"/>
  <c r="C92" i="59"/>
  <c r="C48" i="59" s="1"/>
  <c r="C50" i="59" s="1"/>
  <c r="C68" i="59" s="1"/>
  <c r="F34" i="18"/>
  <c r="F36" i="18" s="1"/>
  <c r="F46" i="18" s="1"/>
  <c r="C12" i="34"/>
  <c r="C14" i="34" s="1"/>
  <c r="D16" i="7"/>
  <c r="E38" i="43"/>
  <c r="B48" i="59"/>
  <c r="B50" i="59" s="1"/>
  <c r="B68" i="59" s="1"/>
  <c r="D21" i="7" l="1"/>
  <c r="D26" i="7" s="1"/>
  <c r="N36" i="4" s="1"/>
  <c r="N27" i="4"/>
  <c r="C15" i="34"/>
  <c r="C16" i="34" s="1"/>
  <c r="B25" i="64"/>
  <c r="C25" i="64" s="1"/>
  <c r="E19" i="43"/>
  <c r="E20" i="43" s="1"/>
  <c r="C15" i="18"/>
  <c r="G34" i="18"/>
  <c r="G36" i="18" s="1"/>
  <c r="G46" i="18" s="1"/>
  <c r="E8" i="9"/>
  <c r="E22" i="9" s="1"/>
  <c r="D21" i="64"/>
  <c r="E21" i="64" s="1"/>
  <c r="B12" i="34"/>
  <c r="B14" i="34" s="1"/>
  <c r="B15" i="34" s="1"/>
  <c r="B16" i="34" s="1"/>
  <c r="C22" i="9"/>
  <c r="C29" i="50"/>
  <c r="C36" i="50" s="1"/>
  <c r="C37" i="50" s="1"/>
  <c r="D37" i="50"/>
  <c r="D10" i="64"/>
  <c r="E10" i="64" s="1"/>
  <c r="G8" i="9"/>
  <c r="G22" i="9" s="1"/>
  <c r="C18" i="64"/>
  <c r="D24" i="64"/>
  <c r="E24" i="64" s="1"/>
  <c r="D15" i="18"/>
  <c r="D17" i="18" s="1"/>
  <c r="D33" i="18" s="1"/>
  <c r="I36" i="18" l="1"/>
  <c r="C17" i="18"/>
  <c r="I34" i="18"/>
  <c r="B9" i="64"/>
  <c r="C9" i="64" s="1"/>
  <c r="C5" i="6"/>
  <c r="C19" i="6" s="1"/>
  <c r="C22" i="6" s="1"/>
  <c r="C53" i="6" s="1"/>
  <c r="C57" i="6" s="1"/>
  <c r="C54" i="6" s="1"/>
  <c r="I46" i="18"/>
  <c r="D29" i="7"/>
  <c r="D31" i="7" s="1"/>
  <c r="E15" i="18"/>
  <c r="E17" i="18" s="1"/>
  <c r="E33" i="18" s="1"/>
  <c r="E48" i="18" s="1"/>
  <c r="G15" i="18"/>
  <c r="B10" i="64"/>
  <c r="C10" i="64" s="1"/>
  <c r="I8" i="9"/>
  <c r="I22" i="9" s="1"/>
  <c r="D6" i="14"/>
  <c r="D8" i="14" s="1"/>
  <c r="D13" i="14" s="1"/>
  <c r="F15" i="18"/>
  <c r="D48" i="18"/>
  <c r="C33" i="18" l="1"/>
  <c r="F17" i="18"/>
  <c r="F33" i="18" s="1"/>
  <c r="G17" i="18"/>
  <c r="G33" i="18" s="1"/>
  <c r="G48" i="18" s="1"/>
  <c r="I15" i="18"/>
  <c r="C48" i="18"/>
  <c r="D41" i="7"/>
  <c r="D40" i="7"/>
  <c r="D38" i="7"/>
  <c r="D37" i="7"/>
  <c r="C6" i="14"/>
  <c r="C8" i="14" s="1"/>
  <c r="C13" i="14" s="1"/>
  <c r="K8" i="9"/>
  <c r="K22" i="9" s="1"/>
  <c r="D3" i="53"/>
  <c r="D17" i="53" s="1"/>
  <c r="D19" i="53" s="1"/>
  <c r="B11" i="64"/>
  <c r="D34" i="7"/>
  <c r="N39" i="4" s="1"/>
  <c r="D11" i="64"/>
  <c r="B24" i="64"/>
  <c r="C24" i="64" s="1"/>
  <c r="I33" i="18" l="1"/>
  <c r="I48" i="18" s="1"/>
  <c r="C7" i="18" s="1"/>
  <c r="C9" i="18" s="1"/>
  <c r="C10" i="18" s="1"/>
  <c r="F48" i="18"/>
  <c r="I17" i="18"/>
  <c r="D13" i="64"/>
  <c r="E13" i="64" s="1"/>
  <c r="E11" i="64"/>
  <c r="C11" i="64"/>
  <c r="B13" i="64"/>
  <c r="C13" i="64" s="1"/>
  <c r="J48" i="18" l="1"/>
  <c r="C13" i="50"/>
  <c r="D37" i="31"/>
</calcChain>
</file>

<file path=xl/comments1.xml><?xml version="1.0" encoding="utf-8"?>
<comments xmlns="http://schemas.openxmlformats.org/spreadsheetml/2006/main">
  <authors>
    <author>Sare_10</author>
  </authors>
  <commentList>
    <comment ref="C24" authorId="0" shapeId="0">
      <text>
        <r>
          <rPr>
            <b/>
            <sz val="9"/>
            <color indexed="81"/>
            <rFont val="Tahoma"/>
            <family val="2"/>
            <charset val="238"/>
          </rPr>
          <t>Sare_10:</t>
        </r>
        <r>
          <rPr>
            <sz val="9"/>
            <color indexed="81"/>
            <rFont val="Tahoma"/>
            <family val="2"/>
            <charset val="238"/>
          </rPr>
          <t xml:space="preserve">
Sprzedaż wyłączona
</t>
        </r>
      </text>
    </comment>
    <comment ref="C59" authorId="0" shapeId="0">
      <text>
        <r>
          <rPr>
            <b/>
            <sz val="9"/>
            <color indexed="81"/>
            <rFont val="Tahoma"/>
            <family val="2"/>
            <charset val="238"/>
          </rPr>
          <t>Sare_10:</t>
        </r>
        <r>
          <rPr>
            <sz val="9"/>
            <color indexed="81"/>
            <rFont val="Tahoma"/>
            <family val="2"/>
            <charset val="238"/>
          </rPr>
          <t xml:space="preserve">
Sprzedaż wyłączona
</t>
        </r>
      </text>
    </comment>
  </commentList>
</comments>
</file>

<file path=xl/comments2.xml><?xml version="1.0" encoding="utf-8"?>
<comments xmlns="http://schemas.openxmlformats.org/spreadsheetml/2006/main">
  <authors>
    <author>Sare_53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Sare_53:</t>
        </r>
        <r>
          <rPr>
            <sz val="9"/>
            <color indexed="81"/>
            <rFont val="Tahoma"/>
            <family val="2"/>
            <charset val="238"/>
          </rPr>
          <t xml:space="preserve">
dodane</t>
        </r>
      </text>
    </comment>
  </commentList>
</comments>
</file>

<file path=xl/sharedStrings.xml><?xml version="1.0" encoding="utf-8"?>
<sst xmlns="http://schemas.openxmlformats.org/spreadsheetml/2006/main" count="1673" uniqueCount="991">
  <si>
    <t>Imię i nazwisko</t>
  </si>
  <si>
    <t>Liczba pracowników przyjętych</t>
  </si>
  <si>
    <t>Liczba pracowników zwolnionych</t>
  </si>
  <si>
    <t>Przeciętne zatrudnienie:</t>
  </si>
  <si>
    <t>Kapitał zapasowy</t>
  </si>
  <si>
    <t>Rzeczowe aktywa trwałe - struktura własnościowa</t>
  </si>
  <si>
    <t>Okres</t>
  </si>
  <si>
    <t>Podział zysku netto</t>
  </si>
  <si>
    <t>Działalność kontynuowana</t>
  </si>
  <si>
    <t>Krótkoterminowe świadczenia pracownicze (wynagrodzenia i narzuty)</t>
  </si>
  <si>
    <t>Nagrody jubileuszowe</t>
  </si>
  <si>
    <t>Świadczenia po okresie zatrudnienia</t>
  </si>
  <si>
    <t>Świadczenia z tytułu rozwiązania stosunku pracy</t>
  </si>
  <si>
    <t xml:space="preserve">Świadczenia pracownicze w formie akcji własnych </t>
  </si>
  <si>
    <t>PLN</t>
  </si>
  <si>
    <t>EUR</t>
  </si>
  <si>
    <t>USD</t>
  </si>
  <si>
    <t>Rezerwy na nagrody jubileuszowe</t>
  </si>
  <si>
    <t>Rezerwy na urlopy wypoczynkowe</t>
  </si>
  <si>
    <t>Rezerwy na pozostałe świadczenia</t>
  </si>
  <si>
    <t>Razem, w tym:</t>
  </si>
  <si>
    <t>Rezerwy na pozostałe świadczenia pracownicze</t>
  </si>
  <si>
    <t>Utworzenie rezerwy</t>
  </si>
  <si>
    <t>Świadczenia wypłacane Członkom Zarządu</t>
  </si>
  <si>
    <t xml:space="preserve"> Razem </t>
  </si>
  <si>
    <t>Wynagrodzenia Członków Zarządu</t>
  </si>
  <si>
    <t>Wynagrodzenia członków Rady Nadzorczej</t>
  </si>
  <si>
    <t>Rotacja zatrudnienia:</t>
  </si>
  <si>
    <t>Razem</t>
  </si>
  <si>
    <t>Zysk z tytułu przeszacowania nieruchomości inwestycyjnych do wartości godziwej</t>
  </si>
  <si>
    <t>Dodatnie różnice kursowe</t>
  </si>
  <si>
    <t>Ujemne różnice kursowe</t>
  </si>
  <si>
    <t>Amortyzacja</t>
  </si>
  <si>
    <t>Zużycie materiałów i energii</t>
  </si>
  <si>
    <t>Usługi obce</t>
  </si>
  <si>
    <t>Podatki i opłaty</t>
  </si>
  <si>
    <t>Pozostałe koszty rodzajowe</t>
  </si>
  <si>
    <t>Wartość sprzedanych towarów i materiałów</t>
  </si>
  <si>
    <t>Amortyzacja środków trwałych</t>
  </si>
  <si>
    <t>Amortyzacja wartości niematerialnych</t>
  </si>
  <si>
    <t>Bieżący podatek dochodowy</t>
  </si>
  <si>
    <t>Odroczony podatek dochodowy</t>
  </si>
  <si>
    <t>Związany z powstaniem i odwróceniem się różnic przejściowych</t>
  </si>
  <si>
    <t>Obciążenie podatkowe wykazane w skonsolidowanym rachunku zysków i strat</t>
  </si>
  <si>
    <t>Przyspieszona amortyzacja podatkowa</t>
  </si>
  <si>
    <t>Przeszacowanie kontraktów walutowych (zabezpieczenia przepływów pieniężnych) do wartości godziwej</t>
  </si>
  <si>
    <t xml:space="preserve">Wartości niematerialne </t>
  </si>
  <si>
    <t>Rzeczowe aktywa trwałe</t>
  </si>
  <si>
    <t>Kredyty i pożyczki</t>
  </si>
  <si>
    <t xml:space="preserve">wartość netto sprzedanych wartości niematerialnych </t>
  </si>
  <si>
    <t>przychody ze sprzedaży rzeczowych aktywów trwałych</t>
  </si>
  <si>
    <t>wartość netto sprzedanych rzeczowych aktywów trwałych</t>
  </si>
  <si>
    <t>amortyzacja wartości niematerialnych</t>
  </si>
  <si>
    <t>amortyzacja rzeczowych aktywów trwałych</t>
  </si>
  <si>
    <t>amortyzacja nieruchomości inwestycyjnych</t>
  </si>
  <si>
    <t>przychody ze sprzedaży wartości niemataterialnych</t>
  </si>
  <si>
    <t>bilansowa zmiana stanu zapasów</t>
  </si>
  <si>
    <t>wartość zapasów przejęta w wyniku objęcia kontroli (stan zapasów jednostki zależnej na dzień objęcia kontroli ze znakiem "-")</t>
  </si>
  <si>
    <t>wartość zapasów wyłączona w wyniku utraty kontroli (stan zapasów jednostki zależnej na dzień utraty kontroli ze znakiem "+")</t>
  </si>
  <si>
    <t>bilansowa zmiana stanu rezerw na świadczenia pracownicze</t>
  </si>
  <si>
    <t>wartość rezerw przejęta w wyniku objęcia kontroli (stan rezerw jednostki zależnej na dzień objęcia kontroli ze znakiem "-")</t>
  </si>
  <si>
    <t>wartość rezerw wyłączona w wyniku utraty kontroli (stan rezerw jednostki zależnej na dzień utraty kontroli ze znakiem "+")</t>
  </si>
  <si>
    <t>stan należności przejęty w wyniku objęcia kontroli (stan należności jednostki zależnej na dzień objęcia kontroli ze znakiem "-")</t>
  </si>
  <si>
    <t>stan należności wyłączony w wyniku utraty kontroli (stan należności jednostki zależnej na dzień utraty kontroli ze znakiem "+")</t>
  </si>
  <si>
    <t>Minus środki pieniężne i ich ekwiwalenty</t>
  </si>
  <si>
    <t>Zadłużenie netto</t>
  </si>
  <si>
    <t>Kapitał własny</t>
  </si>
  <si>
    <t>Kapitały rezerwowe z tytułu niezrealizowanych zysków netto</t>
  </si>
  <si>
    <t>Kapitał razem</t>
  </si>
  <si>
    <t>Kapitał i zadłużenie netto</t>
  </si>
  <si>
    <t>Wskaźnik dźwigni</t>
  </si>
  <si>
    <t>Administracja</t>
  </si>
  <si>
    <t>Dział sprzedaży</t>
  </si>
  <si>
    <t>Pozostali</t>
  </si>
  <si>
    <t>Akcjonariusz</t>
  </si>
  <si>
    <t>Rodzaj
uprzywilejo-
wania akcji</t>
  </si>
  <si>
    <t>Rodzaj
ograniczenia
praw do akcji</t>
  </si>
  <si>
    <t>Wartość
serii / emisji
wg wartości
nominalnej</t>
  </si>
  <si>
    <t xml:space="preserve">Sposób
pokrycia
kapitału </t>
  </si>
  <si>
    <t>% kapitału akcyjnego</t>
  </si>
  <si>
    <t xml:space="preserve">Liczba głosów </t>
  </si>
  <si>
    <t>% głosów</t>
  </si>
  <si>
    <t>Pożyczki</t>
  </si>
  <si>
    <t>- długoterminowe</t>
  </si>
  <si>
    <t>- krótkoterminowe</t>
  </si>
  <si>
    <t>x</t>
  </si>
  <si>
    <t>Kredyty i pożyczki krótkoterminowe</t>
  </si>
  <si>
    <t>Kredyty i pożyczki długoterminowe</t>
  </si>
  <si>
    <t>- płatne powyżej 5 lat</t>
  </si>
  <si>
    <t>Kredyty i pożyczki razem</t>
  </si>
  <si>
    <t>Struktura zapadalności kredytów:</t>
  </si>
  <si>
    <t>- płatne powyżej 1 roku do 3 lat</t>
  </si>
  <si>
    <t>- płatne powyżej 3 lat do 5 lat</t>
  </si>
  <si>
    <t>wartość
w walucie</t>
  </si>
  <si>
    <t>wartość 
w PLN</t>
  </si>
  <si>
    <t>Kredyty i pożyczki struktura walutowa:</t>
  </si>
  <si>
    <t>Zabezpieczenia</t>
  </si>
  <si>
    <t>Zmiana stanu rezerw wynika z następujących pozycji:</t>
  </si>
  <si>
    <t>Zmiana stanu zapasów wynika z następujących pozycji:</t>
  </si>
  <si>
    <t>Należności handlowe brutto</t>
  </si>
  <si>
    <t>- od jednostek powiazanych</t>
  </si>
  <si>
    <t>- od pozostałych jednostek</t>
  </si>
  <si>
    <t>Pozostałe należności brutto</t>
  </si>
  <si>
    <t>Zmniejszenia w tym:</t>
  </si>
  <si>
    <t>Zmniejszenia, z tytułu:</t>
  </si>
  <si>
    <t>Zwiększenia, z tytułu:</t>
  </si>
  <si>
    <t>Wartość bilansowa brutto na początek okresu</t>
  </si>
  <si>
    <t>Wartość bilansowa brutto na koniec okresu</t>
  </si>
  <si>
    <t>Odpisy aktualizujące z tytułu utraty wartości na początek okresu</t>
  </si>
  <si>
    <t>Odpisy aktualizujące z tytułu utraty wartości na koniec okresu</t>
  </si>
  <si>
    <t>Zwiększenia, w tym:</t>
  </si>
  <si>
    <t>Aktywa trwałe, inne niż instrumenty finansowe</t>
  </si>
  <si>
    <t>Przychody ze sprzedaży usług</t>
  </si>
  <si>
    <t>Przychody ze sprzedaży produktów</t>
  </si>
  <si>
    <t>Przychody ze sprzedaży towarów i materiałów</t>
  </si>
  <si>
    <t>Zysk (strata) netto na jedną akcję (w zł)</t>
  </si>
  <si>
    <t>Aktywa finansowe dostepne do sprzedaży</t>
  </si>
  <si>
    <t>Pozostałe aktywa finansowe</t>
  </si>
  <si>
    <t xml:space="preserve">Pozostałe należności </t>
  </si>
  <si>
    <t>Akcje własne</t>
  </si>
  <si>
    <t>Niepodzielony wynik finansowy</t>
  </si>
  <si>
    <t>Wynik finansowy bieżącego okresu</t>
  </si>
  <si>
    <r>
      <t xml:space="preserve">Świadczenia </t>
    </r>
    <r>
      <rPr>
        <b/>
        <sz val="8"/>
        <rFont val="Arial"/>
        <family val="2"/>
        <charset val="238"/>
      </rPr>
      <t>wypłacone lub należne pozostałym członkom głównej kadry kierowniczej</t>
    </r>
  </si>
  <si>
    <t>Wynagrodzenia pozostałej kadry kierowniczej</t>
  </si>
  <si>
    <t>Środki pieniężne kasie i na rachunkach bankowych:</t>
  </si>
  <si>
    <t>Dotacje</t>
  </si>
  <si>
    <t>Nieruchomości inwestycyjne</t>
  </si>
  <si>
    <t xml:space="preserve">Skonsolidowany rachunek przepływów pieniężnych </t>
  </si>
  <si>
    <t>SKONSOLIDOWANY RACHUNEK ZYSKÓW I STRAT</t>
  </si>
  <si>
    <t>Zestawienie zmian w skosolidowanym kapitale własnym</t>
  </si>
  <si>
    <t>Przychody netto ze sprzedażyproduktów, towarów i materiałów</t>
  </si>
  <si>
    <t>Koszt własny sprzedaży</t>
  </si>
  <si>
    <t>Zysk (strata) brutto</t>
  </si>
  <si>
    <t>Zysk (strata) netto</t>
  </si>
  <si>
    <t>Liczba udziałów/akcji w sztukach</t>
  </si>
  <si>
    <t>Wartość księgowa na akcję (zł/euro)</t>
  </si>
  <si>
    <t>Zysk (strata) netto na akcję zwykłą (zł/euro)</t>
  </si>
  <si>
    <t>Wartość księgowa na akcję</t>
  </si>
  <si>
    <t>Zysk (strata) netto na jedną akcję z działalności kontynuowanej (w zł)</t>
  </si>
  <si>
    <t>Zysk (strata) netto podmiotu dominującego</t>
  </si>
  <si>
    <t>Podstawowy za okres obrotowy</t>
  </si>
  <si>
    <t>Rozwodniony za okres obrotowy</t>
  </si>
  <si>
    <r>
      <t>Zobowi</t>
    </r>
    <r>
      <rPr>
        <sz val="8"/>
        <rFont val="Arial"/>
        <family val="2"/>
        <charset val="238"/>
      </rPr>
      <t>ą</t>
    </r>
    <r>
      <rPr>
        <b/>
        <sz val="8"/>
        <rFont val="Arial"/>
        <family val="2"/>
        <charset val="238"/>
      </rPr>
      <t xml:space="preserve">zania finansowe wyceniane w wartości godziwej przez wynik finansowy </t>
    </r>
  </si>
  <si>
    <r>
      <t>Po</t>
    </r>
    <r>
      <rPr>
        <sz val="8"/>
        <rFont val="Arial"/>
        <family val="2"/>
        <charset val="238"/>
      </rPr>
      <t>ż</t>
    </r>
    <r>
      <rPr>
        <b/>
        <sz val="8"/>
        <rFont val="Arial"/>
        <family val="2"/>
        <charset val="238"/>
      </rPr>
      <t>yczki udzielone i należności własne</t>
    </r>
  </si>
  <si>
    <t>Pozostałe zobowiązania finansowe</t>
  </si>
  <si>
    <t>Aktywa finansowe utrzymywane do terminu wymagalności</t>
  </si>
  <si>
    <t>Rezerwy z tytułu odroczonego podatku dochodowego</t>
  </si>
  <si>
    <t>Emisja akcji</t>
  </si>
  <si>
    <t>Wypłata dywidendy</t>
  </si>
  <si>
    <t xml:space="preserve">Inne, niż wpłaty na rzecz właścicieli, wydatki z tytułu podziału zysku </t>
  </si>
  <si>
    <t>Sprzedaż towarów i materiałów</t>
  </si>
  <si>
    <t xml:space="preserve">Sprzedaż produktów </t>
  </si>
  <si>
    <t>Sprzedaż usług</t>
  </si>
  <si>
    <t>SUMA przychodów ze sprzedaży</t>
  </si>
  <si>
    <t xml:space="preserve">Zwiększenia </t>
  </si>
  <si>
    <t>Jednostka dominujaca</t>
  </si>
  <si>
    <t>Podmiot powiązany</t>
  </si>
  <si>
    <t>Sprzedaż na rzecz podmiotów powiązanych</t>
  </si>
  <si>
    <t>Zakupy od podmiotów powiązanych</t>
  </si>
  <si>
    <t>Należności od podmiotów powiązanych</t>
  </si>
  <si>
    <t>Wartości niematerialne - struktura własnościowa</t>
  </si>
  <si>
    <t>Wartość firmy (netto)</t>
  </si>
  <si>
    <t>- połączenia jednostek gospodarczych</t>
  </si>
  <si>
    <t>Stan na koniec okresu</t>
  </si>
  <si>
    <t>Nazwa spółki, forma prawna, miejscowość, w której mieści się siedziba zarządu</t>
  </si>
  <si>
    <t>- nabycia środków trwałych</t>
  </si>
  <si>
    <t>- wytworzenia we własnym zakresie środków trwałych</t>
  </si>
  <si>
    <t>- zawartych umów leasingu</t>
  </si>
  <si>
    <t>- przeszacowania</t>
  </si>
  <si>
    <t>- zbycia</t>
  </si>
  <si>
    <t>- likwidacji</t>
  </si>
  <si>
    <t xml:space="preserve">- sprzedaży spółki zależnej </t>
  </si>
  <si>
    <t>-  wniesienia aportu</t>
  </si>
  <si>
    <t>- amortyzacji</t>
  </si>
  <si>
    <t>- sprzedaży</t>
  </si>
  <si>
    <t>Różnice kursowe netto z przeliczenia sprawozdania finansowego na walutę prezentacji</t>
  </si>
  <si>
    <r>
      <t>Koszty prac rozwojowych</t>
    </r>
    <r>
      <rPr>
        <b/>
        <vertAlign val="superscript"/>
        <sz val="8"/>
        <color indexed="8"/>
        <rFont val="Arial"/>
        <family val="2"/>
        <charset val="238"/>
      </rPr>
      <t>1</t>
    </r>
  </si>
  <si>
    <r>
      <t>Znaki towarowe</t>
    </r>
    <r>
      <rPr>
        <b/>
        <vertAlign val="superscript"/>
        <sz val="8"/>
        <rFont val="Arial"/>
        <family val="2"/>
        <charset val="238"/>
      </rPr>
      <t>2</t>
    </r>
  </si>
  <si>
    <r>
      <t>Patenty i licencje</t>
    </r>
    <r>
      <rPr>
        <b/>
        <vertAlign val="superscript"/>
        <sz val="8"/>
        <color indexed="8"/>
        <rFont val="Arial"/>
        <family val="2"/>
        <charset val="238"/>
      </rPr>
      <t>2</t>
    </r>
  </si>
  <si>
    <r>
      <t>Oprogramowanie komputerowe</t>
    </r>
    <r>
      <rPr>
        <b/>
        <vertAlign val="superscript"/>
        <sz val="8"/>
        <rFont val="Arial"/>
        <family val="2"/>
        <charset val="238"/>
      </rPr>
      <t>2</t>
    </r>
  </si>
  <si>
    <r>
      <t>Inne</t>
    </r>
    <r>
      <rPr>
        <b/>
        <vertAlign val="superscript"/>
        <sz val="8"/>
        <color indexed="8"/>
        <rFont val="Arial"/>
        <family val="2"/>
        <charset val="238"/>
      </rPr>
      <t>2</t>
    </r>
  </si>
  <si>
    <t>Zminay stanu wartości firmy z konsolidacji</t>
  </si>
  <si>
    <t>Zmniejszenia stanu z tytułu spadku udziału wskutek rozwodnienia</t>
  </si>
  <si>
    <t>Wartość udziałów wg ceny nabycia</t>
  </si>
  <si>
    <t>Przyrost/spadek udziału w zyskach/stratach za ubiegłe lata</t>
  </si>
  <si>
    <t>Przyrost/spadek udziału w zyskach/stratach za bieżący rok</t>
  </si>
  <si>
    <t xml:space="preserve"> </t>
  </si>
  <si>
    <t>Akcje/ Udziały w spółkach nienotowanych na giełdzie (nie objęte konsolidacją)</t>
  </si>
  <si>
    <t>Akcje spółek notowanych na giełdzie (nie objęte konsolidacją)</t>
  </si>
  <si>
    <t>Inwestycje długoterminowe</t>
  </si>
  <si>
    <t>Powody nie objęcia konsolidacją</t>
  </si>
  <si>
    <t>- z tytułu podatków, z wyjątkiem podatku dochodowego od osób prawnych</t>
  </si>
  <si>
    <t>Inwestycje krótkoterminowe</t>
  </si>
  <si>
    <t>Czynne rozliczenia międzyokresowe kosztów</t>
  </si>
  <si>
    <t>Akcje własne (-)</t>
  </si>
  <si>
    <t>Na początek okresu</t>
  </si>
  <si>
    <t>Dywidendy wypłacone przez jednostki zależne</t>
  </si>
  <si>
    <t>Nabycie spółki</t>
  </si>
  <si>
    <t>Zmiany w strukturze udziałowców w jednostkach zależnych</t>
  </si>
  <si>
    <t>Udział w wyniku jednostek zależnych</t>
  </si>
  <si>
    <t>Na koniec okresu</t>
  </si>
  <si>
    <t>Zobowiązania z tytułu pozostałych podatków, ceł, ubezpieczeń społecznych i innych, z wyjątkiem podatku dochodowego od osób prawnych</t>
  </si>
  <si>
    <t>Zmniejszenie stanu z tytułu korekt wynikających z późniejszego ujęcia</t>
  </si>
  <si>
    <t>Odpisy aktualizujące</t>
  </si>
  <si>
    <t>- wykorzystanie odpisów aktualizujących</t>
  </si>
  <si>
    <t>- rozwiązanie odpisów aktualizujących w związku ze spłatą należności</t>
  </si>
  <si>
    <t>- zakończenie postępowań</t>
  </si>
  <si>
    <t>- dokonanie odpisów na należności przeterminowane i sporne</t>
  </si>
  <si>
    <t>- dowiązanie odpisów w związku z umorzeniem układu</t>
  </si>
  <si>
    <t>Zmiany stanu odpisów aktualizujących wartość należności handlowych</t>
  </si>
  <si>
    <t>Pozostałe należności, w tym:</t>
  </si>
  <si>
    <t>- z tytułu ceł</t>
  </si>
  <si>
    <t>- z tytułu ubezpieczeń</t>
  </si>
  <si>
    <t>- zaliczki na dostawy</t>
  </si>
  <si>
    <t>Pozostałe rozliczenia międzyokresowe</t>
  </si>
  <si>
    <t>Kapitał zakładowy struktura cd:</t>
  </si>
  <si>
    <t>Zmiany kapitału zakładowego:</t>
  </si>
  <si>
    <t>Kapitał zakładowy na początek okresu</t>
  </si>
  <si>
    <t>Kapitał zakładowy na koniec okresu</t>
  </si>
  <si>
    <t>Kwoty zawarte w pozycji niepodzielony wynik niepodlegające wypłacie w formie dywidendy:</t>
  </si>
  <si>
    <t xml:space="preserve">Razem pozostałe zobowiązania </t>
  </si>
  <si>
    <t xml:space="preserve">Zysk (strata) netto </t>
  </si>
  <si>
    <t>Polska</t>
  </si>
  <si>
    <t>Przychody ze sprzedaży - szczegółowa struktura geograficzna</t>
  </si>
  <si>
    <t>w %</t>
  </si>
  <si>
    <t>Kraj</t>
  </si>
  <si>
    <t>Eksport, w tym:</t>
  </si>
  <si>
    <t xml:space="preserve">Unia Europejska </t>
  </si>
  <si>
    <t>w tys. PLN</t>
  </si>
  <si>
    <t xml:space="preserve">Wynagrodzenia </t>
  </si>
  <si>
    <t>Ubezpieczenia społeczne i inne świadczenia</t>
  </si>
  <si>
    <t>Inwestycje w jednostkach powiązanych wycenianych metodą praw własności</t>
  </si>
  <si>
    <t>Inne zobowiązania długoterminowe</t>
  </si>
  <si>
    <t>SUMA przychodów ogółem z działalności kontynuowanej</t>
  </si>
  <si>
    <t xml:space="preserve">SUMA przychodów ogółem </t>
  </si>
  <si>
    <t>Zysk ze zbycia majątku trwałego</t>
  </si>
  <si>
    <t>Strata ze zbycia majątku trwałego</t>
  </si>
  <si>
    <t>Dotyczący roku obrotowego</t>
  </si>
  <si>
    <t>Korekty dotyczące lat ubiegłych</t>
  </si>
  <si>
    <t>zwiększenia</t>
  </si>
  <si>
    <t>zmniejszenia</t>
  </si>
  <si>
    <t>Suma ujemnych różnic przejściowych</t>
  </si>
  <si>
    <t>stawka podatkowa</t>
  </si>
  <si>
    <t>Aktywa z tytułu odroczonego podatku</t>
  </si>
  <si>
    <t>Suma dodatnich różnic przejściowych</t>
  </si>
  <si>
    <t>Rezerwa z tytułu podatku odroczonego na koniec okresu:</t>
  </si>
  <si>
    <t>Wartości niematerialne w budowie</t>
  </si>
  <si>
    <t>jednostki stowarzyszone:</t>
  </si>
  <si>
    <t>nazwa</t>
  </si>
  <si>
    <t xml:space="preserve"> Należności leasingowe długoterminowe</t>
  </si>
  <si>
    <t xml:space="preserve"> Należności długoterminowe pozostałe</t>
  </si>
  <si>
    <t xml:space="preserve"> Należności leasingowe krótkoterminowe</t>
  </si>
  <si>
    <t>obligacje</t>
  </si>
  <si>
    <t>91-180</t>
  </si>
  <si>
    <t>Jednostki powiązane</t>
  </si>
  <si>
    <t>Stan odpisów aktualizujących wartość należności handlowych od jednostek powiązanych na koniec okresu</t>
  </si>
  <si>
    <t>Jednostki pozostałe</t>
  </si>
  <si>
    <t>Stan odpisów aktualizujących wartość należności handlowych od jednostek pozostałych na koniec okresu</t>
  </si>
  <si>
    <t>Stan odpisów aktualizujących wartość należności handlowych ogółem na koniec okresu</t>
  </si>
  <si>
    <t>- z tytułu zbycia aktywów trwałych</t>
  </si>
  <si>
    <t>od jednostek powiązanych</t>
  </si>
  <si>
    <t>od pozostałych jednostek</t>
  </si>
  <si>
    <t xml:space="preserve"> - od Zarządu i Rady Nadzorczej</t>
  </si>
  <si>
    <t>zobowiązania leasingowe</t>
  </si>
  <si>
    <t>zobowiązania wyceniane w wartości godziwej przez wynik finansowy</t>
  </si>
  <si>
    <t xml:space="preserve">Razem zobowiązania finansowe </t>
  </si>
  <si>
    <t>Jednostki zależne:</t>
  </si>
  <si>
    <t>Uzyskane kary, grzywny i odszkodowania</t>
  </si>
  <si>
    <t>Dotacje rządowe</t>
  </si>
  <si>
    <t>Darowizny</t>
  </si>
  <si>
    <t xml:space="preserve">Pozostałe przychody operacyjne </t>
  </si>
  <si>
    <t xml:space="preserve">Pozostałe koszty operacyjne </t>
  </si>
  <si>
    <t>Zysk ze zbycia akcji, udziałów i innych papierów wartościowych</t>
  </si>
  <si>
    <t>Zysk netto ze zbycia aktywów i zobowiązań finansowych wycenionych w wartości godziwej przez wynik finansowy</t>
  </si>
  <si>
    <t>Zysk netto ze zbycia aktywów finansowych dostępnych do sprzedaży</t>
  </si>
  <si>
    <t>Dywidendy otrzymane</t>
  </si>
  <si>
    <t xml:space="preserve">Rozwiązanie odpisów aktualizujących </t>
  </si>
  <si>
    <t>Nadwyżka dodatnich różnic kursowych</t>
  </si>
  <si>
    <t>Wycena instrumentów pochodnych</t>
  </si>
  <si>
    <t>Koszty z tytułu odsetek</t>
  </si>
  <si>
    <t>Nadwyżka ujemnych różnic kursowych</t>
  </si>
  <si>
    <t>Straty netto ze zbycia aktywów i zobowiązań finansowych wycenionych w wartości godziwej przez wynik finansowy</t>
  </si>
  <si>
    <t>Straty netto ze zbycia aktywów finansowych dostępnych do sprzedaży</t>
  </si>
  <si>
    <t>Odpisy aktualizujące wartość odsetek</t>
  </si>
  <si>
    <t>Aktualizacja wartość inwestycji</t>
  </si>
  <si>
    <t>Zysk przed opodatkowaniem</t>
  </si>
  <si>
    <t>Przychody wyłączone z opodatkowania</t>
  </si>
  <si>
    <t>Koszty niebędące kosztami uzyskania przychodów</t>
  </si>
  <si>
    <t>Dochód do opodatkowania</t>
  </si>
  <si>
    <t>Podstawa opodatkowania</t>
  </si>
  <si>
    <t>Podatek dochodowy przy zastosowaniu stawki 19%</t>
  </si>
  <si>
    <t>G. Środki pieniężne na koniec okresu</t>
  </si>
  <si>
    <t>Data rejestracji</t>
  </si>
  <si>
    <t>hiperinflacja</t>
  </si>
  <si>
    <t>tytuł</t>
  </si>
  <si>
    <t>Wartość jednostkowa</t>
  </si>
  <si>
    <t>Seria/emisja rodzaj akcji</t>
  </si>
  <si>
    <t>Kapitał z aktualizacji wyceny</t>
  </si>
  <si>
    <t>Pozostały kapitał rezerwowy</t>
  </si>
  <si>
    <t>Kapitał rezerwowy</t>
  </si>
  <si>
    <t>Wycena aktywów finansowych dostępnych do sprzedaży</t>
  </si>
  <si>
    <t>Podatek odroczony z tyt. powyższej korekty</t>
  </si>
  <si>
    <t>Wynik z tytułu zabezpieczeń przepływów pieniężnych</t>
  </si>
  <si>
    <t>Podział/ pokrycie zysku/straty netto</t>
  </si>
  <si>
    <t xml:space="preserve">Zwiększenia w okresie </t>
  </si>
  <si>
    <t xml:space="preserve">Zmniejszenia w okresie </t>
  </si>
  <si>
    <t>Zmiana stanu pozostałych kapitałów</t>
  </si>
  <si>
    <t>Kredyty rachunku bieżącym</t>
  </si>
  <si>
    <t>Kredyty bankowe</t>
  </si>
  <si>
    <t>Suma kredytów i pożyczek, w tym</t>
  </si>
  <si>
    <t xml:space="preserve">RAZEM </t>
  </si>
  <si>
    <t>Rezerwy na odprawy emerytalne i rentowe</t>
  </si>
  <si>
    <t>Zysk (strata) netto na jedną akcję z działalności zaniechanej (w zł)</t>
  </si>
  <si>
    <t>Przychody ze sprzedaży</t>
  </si>
  <si>
    <t>Aktywa zaklasyfikowane jako przeznaczone do sprzedaży</t>
  </si>
  <si>
    <t>AKTYWA</t>
  </si>
  <si>
    <t>A. Przepływy pieniężne netto z działalności operacyjnej</t>
  </si>
  <si>
    <t>B. Przepływy pieniężne netto z działalności inwestycyjnej</t>
  </si>
  <si>
    <t>C. Przepływy pieniężne netto z działalności finansowej</t>
  </si>
  <si>
    <t>D. Przepływy pieniężne netto razem</t>
  </si>
  <si>
    <t>E. Bilansowa zmiana stanu środków pieniężnych, w tym</t>
  </si>
  <si>
    <t>F. Środki pieniężne na początek okresu</t>
  </si>
  <si>
    <t>Związany z obniżeniem stawek podatku dochodowego</t>
  </si>
  <si>
    <t>Rezerwa na pozostałe świadczenia pracownicze</t>
  </si>
  <si>
    <t>Rezerwa na niewykorzystane urlopy</t>
  </si>
  <si>
    <t>Pozostałe rezerwy</t>
  </si>
  <si>
    <t>Odpisy aktualizujące udziały w innych jednostkach</t>
  </si>
  <si>
    <t>NOTA</t>
  </si>
  <si>
    <t>Podatek dochodowy związany z elementami pozostałych całkowitych dochodów</t>
  </si>
  <si>
    <t xml:space="preserve">Suma dochodów całkowitych </t>
  </si>
  <si>
    <t>Suma dochodów całkowitych przypadająca na podmiot dominujący</t>
  </si>
  <si>
    <t>Akcje i udziały w jednostkach podporządkowanych nie objętych konsolidacją</t>
  </si>
  <si>
    <t>Akcje własne (wielkosć ujemna)</t>
  </si>
  <si>
    <t>Sprzedaż klientom zewnętrznym</t>
  </si>
  <si>
    <t>Aktywa z tytułu podatku odroczonego</t>
  </si>
  <si>
    <t>Aktywa z tytułu świadczeń pracowniczych po okresie zatrudnienia</t>
  </si>
  <si>
    <t>Prawa wynikające z umów ubezpieczeniowych</t>
  </si>
  <si>
    <t>Łącznie pozostałe kraje</t>
  </si>
  <si>
    <t xml:space="preserve">Udzielone pożyczki, w tym dla Zarządu </t>
  </si>
  <si>
    <t>Wynagrodzenie wypłacone lub należne za rok obrotowy</t>
  </si>
  <si>
    <t>- za badanie rocznego sprawozdania finansowego i skonsolidowanego sprawozdania finansowego</t>
  </si>
  <si>
    <t>Wynagrodzenia i ubezpieczenia społeczne płatne w następnych okresach</t>
  </si>
  <si>
    <t>Zwiększenie stanu z tytułu przejęcia jednostki</t>
  </si>
  <si>
    <t>Inne zmiany wartości bilansowej</t>
  </si>
  <si>
    <t>Odpisy aktualizujące z tytułu utraty wartości ujęte w trakcie okresu</t>
  </si>
  <si>
    <t>Wartość firmy:</t>
  </si>
  <si>
    <t>Oprocentowane kredyty i pożyczki</t>
  </si>
  <si>
    <t>Zamienne akcje uprzywilejowane</t>
  </si>
  <si>
    <t>Zobowiązania z tytułu dostaw i usług oraz pozostałe zobowiązania</t>
  </si>
  <si>
    <t>Wartość bilansowa</t>
  </si>
  <si>
    <t>Zobowiązania krótkoterminowe</t>
  </si>
  <si>
    <t>Zobowiązania długoterminowe</t>
  </si>
  <si>
    <t>Przychody finansowe</t>
  </si>
  <si>
    <t>Wyszczególnienie</t>
  </si>
  <si>
    <t>Pozostałe zmiany</t>
  </si>
  <si>
    <t>Grunty</t>
  </si>
  <si>
    <t>Budynki i   budowle</t>
  </si>
  <si>
    <t>Maszyny
i urządzenia</t>
  </si>
  <si>
    <t>nota</t>
  </si>
  <si>
    <t>Aktywa finansowe dostępne do sprzedaży</t>
  </si>
  <si>
    <t>Rozliczenia międzyokresowe</t>
  </si>
  <si>
    <t>Aktywa z tytułu odroczonego podatku dochodowego</t>
  </si>
  <si>
    <t>Należności handlowe</t>
  </si>
  <si>
    <t>Aktywa finansowe wyceniane w wartości godziwej przez wynik finansowy</t>
  </si>
  <si>
    <t>Środki pieniężne i ich ekwiwalenty</t>
  </si>
  <si>
    <t>AKTYWA  RAZEM</t>
  </si>
  <si>
    <t>w tę kolumnę należy wpisać dane według wzoru</t>
  </si>
  <si>
    <t>wzór</t>
  </si>
  <si>
    <t>Nazwa jednostki:</t>
  </si>
  <si>
    <t>ABC S.A.</t>
  </si>
  <si>
    <t>Adres siedziby:</t>
  </si>
  <si>
    <t>Początek roku:</t>
  </si>
  <si>
    <t>Koniec roku:</t>
  </si>
  <si>
    <t>Kapitał zakładowy</t>
  </si>
  <si>
    <t>Pozostałe kapitały</t>
  </si>
  <si>
    <t>Rezerwa na świadczenia emerytalne i podobne</t>
  </si>
  <si>
    <t>Zobowiązania handlowe</t>
  </si>
  <si>
    <t>PASYWA  RAZEM</t>
  </si>
  <si>
    <t xml:space="preserve">Dane finasnowe sporządzone w </t>
  </si>
  <si>
    <t>Pozostałe przychody operacyjne</t>
  </si>
  <si>
    <t>Pozostałe koszty operacyjne</t>
  </si>
  <si>
    <t>Zysk (strata) na działalności operacyjnej</t>
  </si>
  <si>
    <t>Zysk (strata) netto z działalności kontynuowanej</t>
  </si>
  <si>
    <t>Zysk (strata) z działalności zaniechanej</t>
  </si>
  <si>
    <t>DZIAŁALNOŚĆ OPERACYJNA</t>
  </si>
  <si>
    <t>Korekty razem:</t>
  </si>
  <si>
    <t>Zyski (straty) z tytułu różnic kursowych</t>
  </si>
  <si>
    <t>Odsetki i udziały w zyskach (dywidendy)</t>
  </si>
  <si>
    <t>Zysk (strata) z działalności inwestycyjnej</t>
  </si>
  <si>
    <t>Zmiana stanu rezerw</t>
  </si>
  <si>
    <t>Gotówka z działalności operacyjnej</t>
  </si>
  <si>
    <t>Podatek dochodowy (zapłacony) / zwrócony</t>
  </si>
  <si>
    <t>Przepływy pieniężne netto z działalności operacyjnej</t>
  </si>
  <si>
    <t>DZIAŁALNOŚĆ INWESTYCYJNA</t>
  </si>
  <si>
    <t>Przychody z tytułu odsetek</t>
  </si>
  <si>
    <t>Przepływy pieniężne netto z działalności inwestycyjnej</t>
  </si>
  <si>
    <t>DZIAŁALNOŚĆ FINANSOWA</t>
  </si>
  <si>
    <t>Inne wpływy finansowe</t>
  </si>
  <si>
    <t>Nabycie udziałów (akcji) własnych</t>
  </si>
  <si>
    <t>Wykup dłużnych papierów wartościowych</t>
  </si>
  <si>
    <t>Z tytułu innych zobowiązań finansowych</t>
  </si>
  <si>
    <t>Przepływy pieniężne netto z działalności finansowej</t>
  </si>
  <si>
    <t>- zmiana stanu środków pieniężnych z tytułu różnic kursowych</t>
  </si>
  <si>
    <t>Wpływy</t>
  </si>
  <si>
    <t>Wydatki</t>
  </si>
  <si>
    <t>tys. zł / zł</t>
  </si>
  <si>
    <t>stan zobowiązań operacyjnych przejęty w wyniku objęcia kontroli (stan zobowiązań jednostki zależnej na dzień objęcia kontroli ze znakiem "-")</t>
  </si>
  <si>
    <t>Zmniejszenie stanu z tytułu sprzedaży spółki zależnej</t>
  </si>
  <si>
    <t>Odpisy aktualizujące wartość należności spornych</t>
  </si>
  <si>
    <t>Odpisy z tytułu utraty wartości</t>
  </si>
  <si>
    <t>Koszty wypłaconych świadczeń</t>
  </si>
  <si>
    <t>Rozwiązanie rezerwy</t>
  </si>
  <si>
    <t>Wykorzystane</t>
  </si>
  <si>
    <t>Rozwiązane</t>
  </si>
  <si>
    <t>Funkcja</t>
  </si>
  <si>
    <t>GBP</t>
  </si>
  <si>
    <t>CHF</t>
  </si>
  <si>
    <t>Ogółem</t>
  </si>
  <si>
    <t>krótkoterminowe</t>
  </si>
  <si>
    <t>długoterminowe</t>
  </si>
  <si>
    <t>Środki pieniężne w bilansie</t>
  </si>
  <si>
    <t>Środki pieniężne i ich ekwiwalenty ogółem wykazane w rachunku przepływów pieniężnych</t>
  </si>
  <si>
    <t>Odsetki i udziały w zyskach (dywidendy) składają się z:</t>
  </si>
  <si>
    <t>odsetki zapłacone od udzielonych pożyczek</t>
  </si>
  <si>
    <t>odsetki zapłacone od kredytów</t>
  </si>
  <si>
    <t>odsetki otrzymane</t>
  </si>
  <si>
    <t>odsetki zapłacone od długoterminowych należności</t>
  </si>
  <si>
    <t>odsetki naliczone od udzielonych pożyczek</t>
  </si>
  <si>
    <t>odsetki naliczone od kredytów i pożyczek</t>
  </si>
  <si>
    <t>Zysk (strata) z działalności inwestycyjnej wynika z:</t>
  </si>
  <si>
    <t>wartość netto zlikwidowanych aktywów trwałych</t>
  </si>
  <si>
    <t>aktualizacja wartości krótkoterminowych aktywów finansowych</t>
  </si>
  <si>
    <t>Zmiana należności wynika z następujących pozycji:</t>
  </si>
  <si>
    <t>zmiana stanu należności krótkoterminowych wynikająca z bilansu</t>
  </si>
  <si>
    <t>zmiana stanu należności długoterminowych wynikająca z bilansu</t>
  </si>
  <si>
    <t>korekta o zmianę stanu należności z tytułu zbycia rzeczowych aktywów trwałych</t>
  </si>
  <si>
    <t>korekta o zmianę stanu należności z tytułu zbycia inwestycji niefinansowych</t>
  </si>
  <si>
    <t>korekta o zmianę stanu należności z tytułu zbycia inwestycji finansowych</t>
  </si>
  <si>
    <t>zmiana stanu zobowiązań krótkoterminowych wynikająca z bilansu</t>
  </si>
  <si>
    <t>korekta o spłacony kredyt</t>
  </si>
  <si>
    <t>korekta o zmianę zobowiązania z tyt. niewypłaconej dywidendy</t>
  </si>
  <si>
    <t>korekta o zmianę stanu zobowiązań z tytułu nabycia rzeczowych aktywów trwałych</t>
  </si>
  <si>
    <t>korekta o zmianę stanu zobowiązań z tytułu nabycia aktywów finansowych</t>
  </si>
  <si>
    <t>Na wartość pozycji "inne korekty" składają się:</t>
  </si>
  <si>
    <t>Wrocław, ul. B.Prusa 5</t>
  </si>
  <si>
    <t>Podatek dochodowy wykazany w RZiS</t>
  </si>
  <si>
    <t>KOSZTY AMORTYZACJI  I ODPISÓW AKTUALIZUJĄCYCH UJĘTE W RZIS</t>
  </si>
  <si>
    <t>Zmiana stanu instrumentów finansowych</t>
  </si>
  <si>
    <t xml:space="preserve">Udzielenie pożyczek </t>
  </si>
  <si>
    <t xml:space="preserve">Zmniejszenia </t>
  </si>
  <si>
    <t>Różnice kursowe z wyceny bilansowej</t>
  </si>
  <si>
    <t>Aktywa pieniężne kwalifikowane jako ekwiwalenty środków pieniężnych na potrzeby rachunku przepływów pieniężnych</t>
  </si>
  <si>
    <t>1,2</t>
  </si>
  <si>
    <t>Udział w zyskach (stratach) netto jednostek rozliczanych metodą praw własności</t>
  </si>
  <si>
    <t>Należności z tytułu bieżącego podatku dochodowego</t>
  </si>
  <si>
    <t>Kapitały własne akcjonariuszy jednostki dominującej</t>
  </si>
  <si>
    <t>Kapitał zapasowy ze sprzedaży akcji powyżej ceny nominalnej</t>
  </si>
  <si>
    <t>Różnice kursowe z przeliczenia</t>
  </si>
  <si>
    <t xml:space="preserve">Kapitały własne </t>
  </si>
  <si>
    <t xml:space="preserve">Zobowiązania długoterminowe </t>
  </si>
  <si>
    <t>Zobowiązania z tytułu bieżącego podatku dochodowego</t>
  </si>
  <si>
    <t>Kapitał własny akcjonariuszy jednostki dominującej</t>
  </si>
  <si>
    <t>Razem kapitały własne</t>
  </si>
  <si>
    <t>PASYWA</t>
  </si>
  <si>
    <t>Zmiany zasad (polityki) rachunkowości</t>
  </si>
  <si>
    <t>Korekty z tyt. błędów podstawowych</t>
  </si>
  <si>
    <t>Kapitał własny po korektach</t>
  </si>
  <si>
    <t>Koszt emisji akcji</t>
  </si>
  <si>
    <t>Udział w zyskach netto jednostek podporządkowanych wycenianych metodą praw własności</t>
  </si>
  <si>
    <t xml:space="preserve">Ujemne różnice przejściowe będące podstawą do tworzenia aktywa z tytułu podatku odroczonego </t>
  </si>
  <si>
    <t xml:space="preserve">Dodatnie różnice przejściowe będące podstawą do tworzenia rezerwy z tytułu podatku odroczonego </t>
  </si>
  <si>
    <t>Amortyzacja:</t>
  </si>
  <si>
    <t>bilansowa zmiana stanu rezerw na zobowiązania</t>
  </si>
  <si>
    <t>Zmiana stanu zobowiązań krótkoterminowych, z wyjątkiem zobowiązań finansowych, wynika z następujących pozycji:</t>
  </si>
  <si>
    <t>stan zobowiązań operacyjnych wyłączony w wyniku utraty kontroli (stan zobowiązań jednostki zależnej na dzień utraty kontroli ze znakiem "+")</t>
  </si>
  <si>
    <t>2,3</t>
  </si>
  <si>
    <t>4</t>
  </si>
  <si>
    <t>5</t>
  </si>
  <si>
    <t>6</t>
  </si>
  <si>
    <t>7</t>
  </si>
  <si>
    <t>01.01.200X - 31.12.200X</t>
  </si>
  <si>
    <t>31.12.200X</t>
  </si>
  <si>
    <t>01.01.200(X-1) - 31.12.200(X-1)</t>
  </si>
  <si>
    <t>01.01.200(X-1)</t>
  </si>
  <si>
    <t>31.12.200(X-1)</t>
  </si>
  <si>
    <t>Bieżący rok obrotowy:</t>
  </si>
  <si>
    <t>Poprzedni rok obrotowy</t>
  </si>
  <si>
    <t>Pozostałe zobowiązania krótkoterminowe</t>
  </si>
  <si>
    <t xml:space="preserve"> Instrumenty finansowe utrzymywane do terminu wymagalności</t>
  </si>
  <si>
    <t>- nabycia</t>
  </si>
  <si>
    <t>Składki na ubezpieczenie społeczne (ZUS)</t>
  </si>
  <si>
    <t>Akcyza</t>
  </si>
  <si>
    <t>Opłaty celne</t>
  </si>
  <si>
    <t>Bierne rozliczenia międzyokresowe</t>
  </si>
  <si>
    <t>Rozliczenia międzyokresowe przychodów</t>
  </si>
  <si>
    <t>Zysk (strata) przed opodatkowaniem</t>
  </si>
  <si>
    <t>Podatek dochodowy</t>
  </si>
  <si>
    <t>Odpisy aktualizujące należności</t>
  </si>
  <si>
    <t>Liczba akcji</t>
  </si>
  <si>
    <t>Aktywo z tytułu podatku odroczonego</t>
  </si>
  <si>
    <t>Rezerwa z tytułu podatku odroczonego – działalność kontynuowana</t>
  </si>
  <si>
    <t>Rezerwa z tytułu podatku odroczonego – działalność zaniechana</t>
  </si>
  <si>
    <t>Aktywa/Rezerwa netto z tytułu podatku odroczonego</t>
  </si>
  <si>
    <t xml:space="preserve">Zysk netto z działalności kontynuowanej </t>
  </si>
  <si>
    <t xml:space="preserve">Strata na działalności zaniechanej </t>
  </si>
  <si>
    <t>Wyliczenie zysku na jedną akcje - założenia</t>
  </si>
  <si>
    <t>Efekt rozwodnienia:</t>
  </si>
  <si>
    <t xml:space="preserve"> - odsetki od umarzalnych akcji uprzywilejowanych zamiennych na akcje zwykłe</t>
  </si>
  <si>
    <t xml:space="preserve"> - odsetki od obligacji zamiennych na akcje</t>
  </si>
  <si>
    <t xml:space="preserve"> -  instrument rozwadniający zysk 1</t>
  </si>
  <si>
    <t xml:space="preserve">Zysk wykazany dla potrzeb wyliczenia wartości rozwodnionego zysku przypadającego na jedną akcję </t>
  </si>
  <si>
    <t>Średnia ważona liczba akcji wykazana dla potrzeb wyliczenia wartości podstawowego zysku  na jedną akcję w szt.</t>
  </si>
  <si>
    <t>Efekt rozwodnienia liczby akcji zwykłych</t>
  </si>
  <si>
    <t xml:space="preserve"> - opcje na akcje</t>
  </si>
  <si>
    <t xml:space="preserve"> - obligacje zamienne na akcje</t>
  </si>
  <si>
    <t xml:space="preserve"> - instrument rozwadniający zysk 1</t>
  </si>
  <si>
    <t>Średnia ważona liczba akcji zwykłych wykazana dla potrzeb wyliczenia wartości rozwodnionego zysku na jedną akcję w szt.</t>
  </si>
  <si>
    <t>Liczba wyemitowanych akcji</t>
  </si>
  <si>
    <t>Własne</t>
  </si>
  <si>
    <t>Używane na podstawie umowy najmu, dzierżawy lub innej umowy, w tym umowy leasingu</t>
  </si>
  <si>
    <t>Termin spłaty</t>
  </si>
  <si>
    <t>Inne rezerwy</t>
  </si>
  <si>
    <t>Utworzone w ciągu roku obrotowego</t>
  </si>
  <si>
    <t>Korekta z tytułu różnic kursowych</t>
  </si>
  <si>
    <t>Korekta stopy dyskontowej</t>
  </si>
  <si>
    <t>Wobec jednostek powiązanych</t>
  </si>
  <si>
    <t>Wobec jednostek pozostałych</t>
  </si>
  <si>
    <t>Podatek VAT</t>
  </si>
  <si>
    <t>Podatek zryczałtowany u źródła</t>
  </si>
  <si>
    <t>Podatek dochodowy od osób fizycznych</t>
  </si>
  <si>
    <t>Pozostałe zobowiązania</t>
  </si>
  <si>
    <t>Zobowiązania wobec pracowników z tytułu wynagrodzeń</t>
  </si>
  <si>
    <t>Zobowiązania wobec podmiotów powiązanych</t>
  </si>
  <si>
    <t>Zobowiązania wobec wspólnego przedsięwzięcia</t>
  </si>
  <si>
    <t>Inne zobowiązania</t>
  </si>
  <si>
    <t>Zapasy</t>
  </si>
  <si>
    <t>Zysk wykazany dla potrzeb wyliczenia wartości podstawowego zysku przypadającego na jedną akcję</t>
  </si>
  <si>
    <t xml:space="preserve">Wartość udziałów wg ceny nabycia </t>
  </si>
  <si>
    <t>Korekty aktualizujące wartość</t>
  </si>
  <si>
    <t>Wartość bilansowa udziałów</t>
  </si>
  <si>
    <t>Procent posiadanych udziałów</t>
  </si>
  <si>
    <t>Procent posiadanych głosów</t>
  </si>
  <si>
    <t>Zysk / strata netto</t>
  </si>
  <si>
    <t>Wartość aktywów</t>
  </si>
  <si>
    <t>Aktywa trwałe</t>
  </si>
  <si>
    <t>Aktywa obrotowe</t>
  </si>
  <si>
    <t>Wartość zobowiązań</t>
  </si>
  <si>
    <t>Wartość przychodów</t>
  </si>
  <si>
    <t xml:space="preserve"> Pożyczki udzielone, w tym:</t>
  </si>
  <si>
    <t xml:space="preserve"> - dla Zarządu i Rady Nadzorczej</t>
  </si>
  <si>
    <t xml:space="preserve"> Instrumenty zabezpieczające wartość godziwą</t>
  </si>
  <si>
    <t xml:space="preserve"> Instrumenty zabezpieczające przepływy pieniężne</t>
  </si>
  <si>
    <t xml:space="preserve"> Inne</t>
  </si>
  <si>
    <t>Należności długoterminowe</t>
  </si>
  <si>
    <t>RAZEM</t>
  </si>
  <si>
    <t>- inne</t>
  </si>
  <si>
    <t xml:space="preserve">Należności handlowe </t>
  </si>
  <si>
    <t>Stan odpisów aktualizujących wartość należności handlowych na początek okresu</t>
  </si>
  <si>
    <t>Należności handlowe dochodzone na drodze sądowej:</t>
  </si>
  <si>
    <t>Należności handlowe skierowane na drogę postępowania sądowego</t>
  </si>
  <si>
    <t>Wartość netto należności handlowych dochodzonych na drodze sądowej</t>
  </si>
  <si>
    <t xml:space="preserve"> - długoterminowe</t>
  </si>
  <si>
    <t xml:space="preserve"> - krótkoterminowe</t>
  </si>
  <si>
    <t>Udzielone pożyczki</t>
  </si>
  <si>
    <t>- otrzymania aportu</t>
  </si>
  <si>
    <t>Udzielone pożyczki, w tym:</t>
  </si>
  <si>
    <t>- dla Zarządu i Rady Nadzorczej</t>
  </si>
  <si>
    <t>Odpisy aktualizujące z tytułu utraty wartości</t>
  </si>
  <si>
    <t>Suma netto udzielonych pożyczek</t>
  </si>
  <si>
    <t>Pożyczkobiorca</t>
  </si>
  <si>
    <t>Kwota pożyczki wg umowy</t>
  </si>
  <si>
    <t>Oprocentowanie</t>
  </si>
  <si>
    <t>nominalne</t>
  </si>
  <si>
    <t>efektywne</t>
  </si>
  <si>
    <t>Środki
transportu</t>
  </si>
  <si>
    <t>Pozostałe
środki
trwałe</t>
  </si>
  <si>
    <t>Koszty finansowe</t>
  </si>
  <si>
    <t>Wartość firmy</t>
  </si>
  <si>
    <t>Pozostałe</t>
  </si>
  <si>
    <t>Nie przeterminowane</t>
  </si>
  <si>
    <t>Wycena bilansowa odniesiona na kapitał</t>
  </si>
  <si>
    <t>Wycena bilansowa odniesiona w RZIS</t>
  </si>
  <si>
    <t>Pozostałe świadczenia długoterminowe</t>
  </si>
  <si>
    <t>Aktywa segmentu</t>
  </si>
  <si>
    <t>Zysk (strata) przypisana akcjonariuszom niekontrolującym</t>
  </si>
  <si>
    <t>Suma dochodów całkowitych przypisana akcjonariuszom niekontrolującym</t>
  </si>
  <si>
    <t>Kapitał akcjonariuszy niekontrolujących</t>
  </si>
  <si>
    <t>Zobowiązania leasingowe</t>
  </si>
  <si>
    <t>Zobowiązania leasingowe krótkoterminowe</t>
  </si>
  <si>
    <t>Zobowiązania leasingowe długoterminowe, w tym:</t>
  </si>
  <si>
    <t>- od roku do pięciu lat</t>
  </si>
  <si>
    <t>- powyżej pięciu lat</t>
  </si>
  <si>
    <t>Zobowiązania leasingowe razem</t>
  </si>
  <si>
    <t>Działalność zaniechana</t>
  </si>
  <si>
    <t>Sprzedaż na zewnątrz</t>
  </si>
  <si>
    <t>Sprzedaż między segmentami</t>
  </si>
  <si>
    <t xml:space="preserve">Koszty segmentu </t>
  </si>
  <si>
    <t>Koszty sprzedaży zewnętrznej</t>
  </si>
  <si>
    <t>Koszty sprzedaży między segmentami</t>
  </si>
  <si>
    <t>Zysk/ (strata) segmentu</t>
  </si>
  <si>
    <t>Zysk/(strata) przed opodatkowaniem</t>
  </si>
  <si>
    <t>Udział w zyskach (stratach) jednostek stowarzyszonych i wspólnych przedsięwzięć wycenianych metodą praw własności</t>
  </si>
  <si>
    <t xml:space="preserve">Zysk/ (strata) netto </t>
  </si>
  <si>
    <t>Aktywa ogółem</t>
  </si>
  <si>
    <t xml:space="preserve">Aktywa nieprzypisane </t>
  </si>
  <si>
    <t>Zobowiązania ogółem</t>
  </si>
  <si>
    <t>Zobowiązania segmentu</t>
  </si>
  <si>
    <t xml:space="preserve">Zobowiązania nieprzypisane </t>
  </si>
  <si>
    <t>Pozostałe informacje dotyczące segmentu</t>
  </si>
  <si>
    <t>Nakłady inwestycyjne</t>
  </si>
  <si>
    <t>- rzeczowe aktywa trwałe</t>
  </si>
  <si>
    <t>- wartości niematerialne</t>
  </si>
  <si>
    <t>- nieruchomości inwestycyjne</t>
  </si>
  <si>
    <t xml:space="preserve">Amortyzacja </t>
  </si>
  <si>
    <t>Odpisy aktualizujące wartości aktywów finansowych i niefinansowych</t>
  </si>
  <si>
    <t>Istotne pozostałe koszty niepieniężne</t>
  </si>
  <si>
    <t>Wyłączenia konsolidacyjne</t>
  </si>
  <si>
    <r>
      <t>Korekty</t>
    </r>
    <r>
      <rPr>
        <b/>
        <vertAlign val="superscript"/>
        <sz val="8"/>
        <rFont val="Arial"/>
        <family val="2"/>
        <charset val="238"/>
      </rPr>
      <t>*</t>
    </r>
  </si>
  <si>
    <t>Nota 1. PRZYCHODY ZE SPRZEDAŻY</t>
  </si>
  <si>
    <t>Nota 2. SEGMENTY OPERACYJNE</t>
  </si>
  <si>
    <t>Nota 3. KOSZTY DZIAŁALNOŚCI OPERACYJNEJ</t>
  </si>
  <si>
    <t>Nota 4. POZOSTAŁE PRZYCHODY I KOSZTY OPERACYJNE</t>
  </si>
  <si>
    <t>Nota 5. PRZYCHODY  I KOSZTY FINANSOWE</t>
  </si>
  <si>
    <t>Nota 6. PODATEK DOCHODOWY I ODROCZONY PODATEK DOCHODOWY</t>
  </si>
  <si>
    <t>31.12.2013</t>
  </si>
  <si>
    <t>31.12.2012</t>
  </si>
  <si>
    <t>RACHUNEK ZYSKÓW I STRAT</t>
  </si>
  <si>
    <t>BILANS</t>
  </si>
  <si>
    <t>RACHUNEK PRZEPŁYWÓW PIENIĘŻNYCH</t>
  </si>
  <si>
    <t>Kurs EUR/PLN</t>
  </si>
  <si>
    <t>- dla danych bilansowych</t>
  </si>
  <si>
    <t>- dla danych rachunku zysków i strat</t>
  </si>
  <si>
    <t>Do przeliczenia danych bilansowych użyto kursu średniego NBP na dzień bilansowy. 
Do przeliczenia pozycji rachunku zysków i strat oraz rachunku przepływów pieniężnych użyto kursu będącego średnią arytmetyczną kursów NBP obowiązujących na ostatni dzień poszczególnych miesięcy danego okresu.</t>
  </si>
  <si>
    <t>Nakłady na prace badawcze i rozwojowe</t>
  </si>
  <si>
    <t>Różnica z tytułu przekazania aktywów niegotówkowych właścicielom</t>
  </si>
  <si>
    <t>Pozycje do przekwalifikowania do rachunku zysków i strat w kolejnych okresach</t>
  </si>
  <si>
    <t>Rożnice kursowe z przeliczenia jegnostek działających za granicą</t>
  </si>
  <si>
    <t>Różnice kursowe z przeliczenia jednostek wycenianych metodą praw własności</t>
  </si>
  <si>
    <t>Strata netto z zabezpieczenia udziału w aktywach netto w jednostkach działających za granicą</t>
  </si>
  <si>
    <t>Zmiana netto wartości godziwej aktywów finansowych dostępnych do sprzedaży</t>
  </si>
  <si>
    <t>Efektywna część  zmian wartości godziwej instrumentów zabezpieczających przepływy środków pieniężnych</t>
  </si>
  <si>
    <t>Zmiana netto wartości godziwej instrumentów zabezpieczających przepływy pieniężne przeklasyfikowana do zysku lub straty bieżącego okresu</t>
  </si>
  <si>
    <t>Pozycje, które nie będą przekwalifikowane do rachunku zysków i strat w kolejnych okresach</t>
  </si>
  <si>
    <t>Przeszacownie rzeczowego majątku trwałego</t>
  </si>
  <si>
    <t>Zyski (straty) aktuarialne z programów określonych świadczeń</t>
  </si>
  <si>
    <r>
      <t>Efektywna stawka podatku</t>
    </r>
    <r>
      <rPr>
        <sz val="8"/>
        <rFont val="Arial"/>
        <family val="2"/>
        <charset val="238"/>
      </rPr>
      <t xml:space="preserve"> (udział obciążenia podatkowego wykazanego w rachunku zysków i strat  w zysku przed opodatkowaniem)</t>
    </r>
  </si>
  <si>
    <t>13</t>
  </si>
  <si>
    <t>15</t>
  </si>
  <si>
    <t>16</t>
  </si>
  <si>
    <t>17</t>
  </si>
  <si>
    <t>18</t>
  </si>
  <si>
    <t>19</t>
  </si>
  <si>
    <t>29</t>
  </si>
  <si>
    <t>wspólne przedsiewziecia:</t>
  </si>
  <si>
    <t>Koszty działalności operacyjnej</t>
  </si>
  <si>
    <t xml:space="preserve">Zużycie materiałów i energii </t>
  </si>
  <si>
    <t xml:space="preserve">Usługi obce </t>
  </si>
  <si>
    <t xml:space="preserve">Podatki i opłaty, w tym: </t>
  </si>
  <si>
    <t xml:space="preserve">Ubezpieczenia społeczne i inne świadczenia </t>
  </si>
  <si>
    <t xml:space="preserve">Pozostałe koszty rodzajowe </t>
  </si>
  <si>
    <t>Zysk (strata) ze sprzedaży</t>
  </si>
  <si>
    <t>SARE S.A.</t>
  </si>
  <si>
    <t>Rybnik, ul. Raciborska 35a</t>
  </si>
  <si>
    <t>Pożyczki krókoterminowe</t>
  </si>
  <si>
    <t>Kapitał mniejszości</t>
  </si>
  <si>
    <t>Korekty konsolidacyjne</t>
  </si>
  <si>
    <t>Koszt programu opcji managerskich</t>
  </si>
  <si>
    <t>Włączenie do konsolidacji środków trwałych</t>
  </si>
  <si>
    <t>Pozostałe obciążenia</t>
  </si>
  <si>
    <t>Koszty postępowaniam sądowego</t>
  </si>
  <si>
    <t>Likwidacja środków trwałych</t>
  </si>
  <si>
    <t>Zysk (strata) na sprzedaży całości lub części udziałów jednostek podporządkowanych</t>
  </si>
  <si>
    <t>Prace rozwojowe</t>
  </si>
  <si>
    <t>Rozliczenie kosztów sfinansowanych dotacją</t>
  </si>
  <si>
    <t>Pruszczyński Tomasz</t>
  </si>
  <si>
    <t>Rutkowski Damian</t>
  </si>
  <si>
    <t>Karta kredytowa</t>
  </si>
  <si>
    <t>Aktualizacja wartości inwestycji</t>
  </si>
  <si>
    <t>korekta VAT naliczonego</t>
  </si>
  <si>
    <t>IT – Dział programowania</t>
  </si>
  <si>
    <t>Obsługa Klienta</t>
  </si>
  <si>
    <t>Pozostali pracownicy</t>
  </si>
  <si>
    <t>Inis Sp. z o.o.</t>
  </si>
  <si>
    <t>pruszczynski.pl</t>
  </si>
  <si>
    <t>Biuro Doradztwa Biznesowego Dariusz Piekarski</t>
  </si>
  <si>
    <t>Seria A</t>
  </si>
  <si>
    <t>na okaziciela</t>
  </si>
  <si>
    <t>Seria B</t>
  </si>
  <si>
    <t>WS Investment Limited</t>
  </si>
  <si>
    <t>Vasto Investment s.a.r.l.</t>
  </si>
  <si>
    <t>nieistotność</t>
  </si>
  <si>
    <t>Zobowiązania z tytułu leasingu</t>
  </si>
  <si>
    <t>Rezerwa na ugodę</t>
  </si>
  <si>
    <t>Wynagrodzenie prowizyjne</t>
  </si>
  <si>
    <t>Bierne rozliczenia międzyokresowe kosztów</t>
  </si>
  <si>
    <t>Rezerwa na badanie sprawozdania finansowego</t>
  </si>
  <si>
    <t>Rozliczenia międzyokresowe, w tym:</t>
  </si>
  <si>
    <t xml:space="preserve">Rozliczenia międzyokresowe </t>
  </si>
  <si>
    <t>brak</t>
  </si>
  <si>
    <t>Zakup akcji (udziałów)</t>
  </si>
  <si>
    <t>Odwrócenie wyceny z 2012 i 2013</t>
  </si>
  <si>
    <t>Odsetki</t>
  </si>
  <si>
    <t>SARE</t>
  </si>
  <si>
    <t>Inis, Mr Target</t>
  </si>
  <si>
    <t>Salelifter</t>
  </si>
  <si>
    <t>Teletaget</t>
  </si>
  <si>
    <t>UE</t>
  </si>
  <si>
    <t>Poza UE</t>
  </si>
  <si>
    <t>Fundacja Force, Rybnik</t>
  </si>
  <si>
    <t>odsetki zapłacone</t>
  </si>
  <si>
    <t>Eliminacja odpisów amortyzacyjnych wartości firmy</t>
  </si>
  <si>
    <t>Opcje managerskie</t>
  </si>
  <si>
    <t>INCITE Jarosław Nowak</t>
  </si>
  <si>
    <t>9</t>
  </si>
  <si>
    <t>10</t>
  </si>
  <si>
    <t>11</t>
  </si>
  <si>
    <t>12</t>
  </si>
  <si>
    <t>Jednostka powiązana osobowo z grupą</t>
  </si>
  <si>
    <t>Istotne pozycje przychodów ujawnione zgodnie z pkt.86 MSSF 8 (np. przychody z tytułu wyceny i realizacji instrumentów finansowych)</t>
  </si>
  <si>
    <t>Istotne pozycje kosztów ujawnione zgodnie z pkt.86 MSSF 8 (np. koszty z tytułu wyceny i realizacji instrumentów finansowych, odpisy aktualizujące rzeczowe aktywa trwałe i wartości niematerialne, aktualizacja rezerw na świadczenia pracownicze)</t>
  </si>
  <si>
    <t>Zyski (straty) mniejszości</t>
  </si>
  <si>
    <t>Umowy współpracy</t>
  </si>
  <si>
    <t>Sare GmbH</t>
  </si>
  <si>
    <t>nd</t>
  </si>
  <si>
    <t>Ubezpieczenia majątkowe, OC</t>
  </si>
  <si>
    <t>Raty za telefon</t>
  </si>
  <si>
    <t>- za badanie półrocznego sprawozdania finansowego skonsolidowanego oraz werryfikację jednostkowego sprawozdania finansowego</t>
  </si>
  <si>
    <t>- za usługi doradztwa w zakresie wdrożenia MSR</t>
  </si>
  <si>
    <t>- weryfikacja oraz opinia do historycznej informacji finansowej</t>
  </si>
  <si>
    <t>koszty finansowe leasing</t>
  </si>
  <si>
    <t>dywidendy otrzymane</t>
  </si>
  <si>
    <t>Odsetki od pożyczek</t>
  </si>
  <si>
    <t>Świadczenia wypłacane Członkom Rady Nadzorczej</t>
  </si>
  <si>
    <t>Udział w wyniku</t>
  </si>
  <si>
    <t>Zobowiązania handlowe - struktura przeterminowania</t>
  </si>
  <si>
    <t>Przeterminowane, lecz ściągalne</t>
  </si>
  <si>
    <t>0-30</t>
  </si>
  <si>
    <t>31-90</t>
  </si>
  <si>
    <t>181-365</t>
  </si>
  <si>
    <t>&gt;366 dni</t>
  </si>
  <si>
    <t>Korekta wyniku roku poprzedniego</t>
  </si>
  <si>
    <t>strata na sprzedaży aktywów trwałych</t>
  </si>
  <si>
    <t>strata ze sprzedazy aktywów finansowych</t>
  </si>
  <si>
    <t>bilansowa zmiana stanu rezerw z tytułu odroczonego podatku dochodowego</t>
  </si>
  <si>
    <t>Zysk na okazjonalnym nabyciu</t>
  </si>
  <si>
    <t>PFRON</t>
  </si>
  <si>
    <t>Zobowiązania z tytułu korekty VAT (ulga na złe długi)</t>
  </si>
  <si>
    <t>powyżej 365</t>
  </si>
  <si>
    <t>Jednostki powiązane nie objęte konsolidacją</t>
  </si>
  <si>
    <t>należności brutto</t>
  </si>
  <si>
    <t>odpisy akualizujące</t>
  </si>
  <si>
    <t>nalezności netto</t>
  </si>
  <si>
    <t>Seria C</t>
  </si>
  <si>
    <t>Seria D</t>
  </si>
  <si>
    <t>emisja akcji serii C</t>
  </si>
  <si>
    <t>emisja akcji serii D</t>
  </si>
  <si>
    <t>tupolska.pl</t>
  </si>
  <si>
    <t>Smart Concept Roman Grygierek</t>
  </si>
  <si>
    <t>Dywidenda</t>
  </si>
  <si>
    <t>-wytworzenia we własnym zakresie</t>
  </si>
  <si>
    <t>Inne, w tym oprogramowanie komputerowe</t>
  </si>
  <si>
    <t>Patenty i licencje</t>
  </si>
  <si>
    <t>Znaki towarowe</t>
  </si>
  <si>
    <t>Rezerwy na usługi</t>
  </si>
  <si>
    <t>14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</si>
  <si>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</si>
  <si>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</si>
  <si>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</si>
  <si>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</si>
  <si>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</si>
  <si>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</si>
  <si>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</si>
  <si>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</si>
  <si>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</si>
  <si>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`</t>
  </si>
  <si>
    <t>01.01.2017-31.12.2017</t>
  </si>
  <si>
    <t xml:space="preserve"> zł</t>
  </si>
  <si>
    <t>dane w zł</t>
  </si>
  <si>
    <t>Dwanaście miesięcy zakończonych 31.12.2017</t>
  </si>
  <si>
    <t>Kapitał własny na dzień 01.01.2017</t>
  </si>
  <si>
    <t>Wynik za rok 2017</t>
  </si>
  <si>
    <t>Kapitał własny na dzień 31.12.2017</t>
  </si>
  <si>
    <t>Informacja o poszcególnych segmentach operacyjnych wystepujacych w okresie 01.01.2017-31.12.2017</t>
  </si>
  <si>
    <t>Rodzaj asortymentu 01.01.2017-31.12.2017</t>
  </si>
  <si>
    <t>Segmenty geograficzne za okres 01.01.2017-31.12.2017</t>
  </si>
  <si>
    <t>Zmiany środków trwałych (wg grup rodzajowych) za okres 01.01.2017-31.12.2017</t>
  </si>
  <si>
    <t>Wartość bilansowa brutto na dzień 01.01.2017</t>
  </si>
  <si>
    <t>Wartość bilansowa brutto na dzień 31.12.2017</t>
  </si>
  <si>
    <t>Umorzenie na dzień 01.01.2017</t>
  </si>
  <si>
    <t>Umorzenie na dzień 31.12.2017</t>
  </si>
  <si>
    <t>Wartość bilansowa netto na dzień 31.12.2017</t>
  </si>
  <si>
    <t>Zmiany wartości niematerialnych (wg grup rodzajowych) - za okres 01.01.2017-31.12.2017</t>
  </si>
  <si>
    <t>Inwestycje w jednostkach podporządkowanych nie objętych konsolidacją na dzień 31.12.2017</t>
  </si>
  <si>
    <t>Wg stanu na dzień 31.12.2017</t>
  </si>
  <si>
    <t>Bieżące i przeterminowane należności handlowe na 31.12.2017 r.</t>
  </si>
  <si>
    <t>Kapitał zakładowy struktura na dzień 31.12.2017</t>
  </si>
  <si>
    <t>Stan na 01.01.2017</t>
  </si>
  <si>
    <t>Stan na 31.12.2017, w tym</t>
  </si>
  <si>
    <t>Stan na 31.12.2017, w tym:</t>
  </si>
  <si>
    <t>Zmiana netto wartości godziwej aktywów finansowych przeklasyfikowana do zysku lub straty bieżącego okresu</t>
  </si>
  <si>
    <t>Pożyczki długoterminowe</t>
  </si>
  <si>
    <t>Fundacja Rozwoju i Ochrony Komunikacji Elektronicznej</t>
  </si>
  <si>
    <t>w3concept Mateusz Walczak</t>
  </si>
  <si>
    <t>E&amp;Q Media Hanna Świątek</t>
  </si>
  <si>
    <t>Tomasz Pruszczyński</t>
  </si>
  <si>
    <t>E-SOLUTION Kamil Milian</t>
  </si>
  <si>
    <t>Sare GmbH, Berlin</t>
  </si>
  <si>
    <t>Marketnews24 sp. z o.o, Warszawa</t>
  </si>
  <si>
    <t>Środki pieniężne kasie</t>
  </si>
  <si>
    <t>Środki pieniężne na rachunkach bankowych</t>
  </si>
  <si>
    <t>Petrovasko Ltd</t>
  </si>
  <si>
    <t>Emisja</t>
  </si>
  <si>
    <t>Niezrealizowany zysk/strata za okres ujęty w wyniku finansowym (pozycja WF np. Przychody finansowe)</t>
  </si>
  <si>
    <t>Odsetki bilansowe od pożyczek</t>
  </si>
  <si>
    <t>Inne</t>
  </si>
  <si>
    <t xml:space="preserve">Sprzedaż </t>
  </si>
  <si>
    <t xml:space="preserve">Spłata pożyczek udzielonych </t>
  </si>
  <si>
    <t>Spłata leasingu</t>
  </si>
  <si>
    <t>Konwersja pożyczek na kapitał podstawowy</t>
  </si>
  <si>
    <t>Odpis aktualizacyjny aktywów finansowych</t>
  </si>
  <si>
    <t>Paypal, Payu, Tpay</t>
  </si>
  <si>
    <t>Zwrot zasądzonych kosztów sądowych</t>
  </si>
  <si>
    <t>Środki twrałe w budowie</t>
  </si>
  <si>
    <t>Przychody z działalności zaniechanej</t>
  </si>
  <si>
    <t>Koszty według rodzajów ogółem</t>
  </si>
  <si>
    <t>Rozwiązanie odpisów aktualizujących wartość składników aktywów</t>
  </si>
  <si>
    <t>Środki trwałe w budowie</t>
  </si>
  <si>
    <t>3,5-10%</t>
  </si>
  <si>
    <t>31.12.2018 - 31.12.2020</t>
  </si>
  <si>
    <t>Ulga na złe długi</t>
  </si>
  <si>
    <t>Inne rozliczenia międzyokresowe</t>
  </si>
  <si>
    <t>Rezerwa na usługi</t>
  </si>
  <si>
    <t>01.01.2018-31.12.2018</t>
  </si>
  <si>
    <t>Zmiany środków trwałych (wg grup rodzajowych) za okres 01.01.2018-31.12.2018</t>
  </si>
  <si>
    <t>Wartość bilansowa brutto na dzień 01.01.2018</t>
  </si>
  <si>
    <t>Wartość bilansowa brutto na dzień 31.12.2018</t>
  </si>
  <si>
    <t>Umorzenie na dzień 01.01.2018</t>
  </si>
  <si>
    <t>Umorzenie na dzień 31.12.2018</t>
  </si>
  <si>
    <t>Wartość bilansowa netto na dzień 31.12.2018</t>
  </si>
  <si>
    <t>Zmiany wartości niematerialnych (wg grup rodzajowych) - za okres 01.01.2018-31.12.2018</t>
  </si>
  <si>
    <t>Wartość bilanosowa brutto na dzień 01.01.2018</t>
  </si>
  <si>
    <t>Inwestycje w jednostkach podporządkowanych nie objętych konsolidacją na dzień 31.12.2018</t>
  </si>
  <si>
    <t>Bieżące i przeterminowane należności handlowe na 31.12.2018 r.</t>
  </si>
  <si>
    <t>Kapitał zakładowy struktura na dzień 31.12.2018</t>
  </si>
  <si>
    <t>Stan na 01.01.2018</t>
  </si>
  <si>
    <t>Stan na 31.12.2018, w tym</t>
  </si>
  <si>
    <t>StaN na dzień 01.01.2017</t>
  </si>
  <si>
    <t>Stan na 31.12.2018, w tym:</t>
  </si>
  <si>
    <t>Segmenty geograficzne za okres 01.01.2018-31.12.2018</t>
  </si>
  <si>
    <t>Informacja o poszcególnych segmentach operacyjnych wystepujacych w okresie 01.01.2018-31.12.2018</t>
  </si>
  <si>
    <t>Rodzaj asortymentu 01.01.2018-31.12.2018</t>
  </si>
  <si>
    <t>Fundusze specjalne</t>
  </si>
  <si>
    <t>JU: Sp. z o.o.</t>
  </si>
  <si>
    <t>Salelifter Sp.z o.o.*</t>
  </si>
  <si>
    <t>Videotarget Sp. z o.o.</t>
  </si>
  <si>
    <t>Sales Intelligence S.A.</t>
  </si>
  <si>
    <t>Fast White Cat S.A.</t>
  </si>
  <si>
    <t>Adepto Sp. z o.o.</t>
  </si>
  <si>
    <t>Cashback Services Sp. z o.o.</t>
  </si>
  <si>
    <t>Związek Przedsiębiorców i Pracodawców</t>
  </si>
  <si>
    <t>Martis Consulting Sp. z o.o.</t>
  </si>
  <si>
    <t>SEDNAM Rafał Mandes</t>
  </si>
  <si>
    <t>EMT Tomasz Kuciel</t>
  </si>
  <si>
    <t>WETHINKHEALTHY Dariusz Zaremba*</t>
  </si>
  <si>
    <t>Wiktor Mazur - UNMESS*</t>
  </si>
  <si>
    <t>H&amp;Z Sp. z o.o. S.K.*</t>
  </si>
  <si>
    <t>Data Info Cezary Kożon</t>
  </si>
  <si>
    <t>Piotr Chrzanowski ALLDO</t>
  </si>
  <si>
    <t>Webevo KAROL ROZWAŁKA</t>
  </si>
  <si>
    <t>- przyjęcie środka trwałego</t>
  </si>
  <si>
    <t>Umorzenie na dzień 01.01.2018 po korekcie konsolidacyjnej</t>
  </si>
  <si>
    <t>Wartość bilansowa brutto na dzień 01.01.2018 po korekcie konsolidacyjnej</t>
  </si>
  <si>
    <t>- sprzedaż</t>
  </si>
  <si>
    <t>Amortyzacja przed objęciem konroli</t>
  </si>
  <si>
    <t>korekta konsolidacyjna*</t>
  </si>
  <si>
    <t>Inis, JU:</t>
  </si>
  <si>
    <t>Salelifter, Adepto, Cashback Services</t>
  </si>
  <si>
    <t>Videotarget</t>
  </si>
  <si>
    <t>Sales Intelligence</t>
  </si>
  <si>
    <t>Fast White Cat</t>
  </si>
  <si>
    <t>Rezerwa punktowa Nokaut, rezerwa CPS</t>
  </si>
  <si>
    <t>Przychody przyszłych okresów</t>
  </si>
  <si>
    <t>Przychody zwiększające podstawę do opodatkowania</t>
  </si>
  <si>
    <t>Koszty zmniejszające podstawę opodatkowania</t>
  </si>
  <si>
    <t>Odliczenia od dochodu - darowizna, strata, B+R</t>
  </si>
  <si>
    <t>Korekty konsolidacyjne*</t>
  </si>
  <si>
    <t>Korekty związane z wprowadzeniem MSSF 9</t>
  </si>
  <si>
    <t>Stan odpisów aktualizujących wartość należności handlowych na początek okresu po korektach</t>
  </si>
  <si>
    <t>- odpis aktualizujący MSSF 9</t>
  </si>
  <si>
    <t>- wycena bilansowa</t>
  </si>
  <si>
    <t>- oddalenie powództwa</t>
  </si>
  <si>
    <t>- wyksięgowanie należności i odpisu</t>
  </si>
  <si>
    <t>* Włączenie spółek: VideoTarget Sp. z o.o., Sales Intelligence S.A., Fast White Cat S.A.</t>
  </si>
  <si>
    <t>- należności dochodzone na drodze sądowej</t>
  </si>
  <si>
    <t>Licencje</t>
  </si>
  <si>
    <t>Konta email, serwery, konta na portalach internetowych</t>
  </si>
  <si>
    <t>Podatek dochodowy w spółkach z dodatnim wynikiem finansowym (zysk netto) - Inis, SL, TT w 2017 i Inis, SL w 2018</t>
  </si>
  <si>
    <t>Podatek dochodowy w spółkach ze stratą SARE i MRT w 2017 i SARE, JU, VT, FWC, SI, Adepto, Cashback w 2018</t>
  </si>
  <si>
    <t>Refaktury</t>
  </si>
  <si>
    <t>Wyksięgowanie rozrachunków</t>
  </si>
  <si>
    <t>Odpisy aktualizujące niefinansowe aktywa trwałe</t>
  </si>
  <si>
    <t>Ugoda pozasądowa</t>
  </si>
  <si>
    <t>Polinvest 7 S.a.r.l.</t>
  </si>
  <si>
    <t>Salelifter sp. z o.o.</t>
  </si>
  <si>
    <t>JU sp. z o.o.</t>
  </si>
  <si>
    <t>Videotarget sp. z o.o.</t>
  </si>
  <si>
    <t>Zwiększenia stanu z tytułu przejęcia kolejnych udziałów</t>
  </si>
  <si>
    <t>Kapitał własny na dzień 01.01.2018</t>
  </si>
  <si>
    <t>Zmiany zasad (polityki) rachunkowości w związku z wprowadzeniem MSSF 9</t>
  </si>
  <si>
    <t xml:space="preserve">Kapitał zapasowy </t>
  </si>
  <si>
    <t>Dwanaście miesięcy zakończonych 31.12.2018</t>
  </si>
  <si>
    <t>Zakup udziałów od udziałowców mniejszościowych</t>
  </si>
  <si>
    <t>Wynik za rok 2018</t>
  </si>
  <si>
    <t>Utworzenie kapitału rezerwowego</t>
  </si>
  <si>
    <t>Sprzedaż udziałów do udziałowców mniejszościowych</t>
  </si>
  <si>
    <t>Zakup udziałów mniejszości</t>
  </si>
  <si>
    <t>Sprzedaż udziałów mniejszości</t>
  </si>
  <si>
    <t>Wg stanu na dzień 31.12.2018</t>
  </si>
  <si>
    <t>3,5-5,5%</t>
  </si>
  <si>
    <t>31.12.2018 - 31.12.2021</t>
  </si>
  <si>
    <t xml:space="preserve">Stan na początek okresu </t>
  </si>
  <si>
    <t>Umowa leasingu</t>
  </si>
  <si>
    <t>* Włączenie spółek: VideoTarget Sp. z o.o.</t>
  </si>
  <si>
    <t>Stan na początek okresu po korektach</t>
  </si>
  <si>
    <t>Zwiekszenia</t>
  </si>
  <si>
    <t>Zmniejszenia</t>
  </si>
  <si>
    <t>Nakłady na prace rozwojowe</t>
  </si>
  <si>
    <t>- przyjęcia projektów na wartości niematerialne i prawne</t>
  </si>
  <si>
    <t>Odpisy aktualizujące na dzień 01.01.2018</t>
  </si>
  <si>
    <t>Odpisy aktualizujące na dzień 01.01.2018 po korekcie konsolidacyjnej</t>
  </si>
  <si>
    <t xml:space="preserve">zwiększania </t>
  </si>
  <si>
    <t>Odpisy aktualizujące BZ</t>
  </si>
  <si>
    <t>- przyjęcie projektów na wartości niematerialne i prawne</t>
  </si>
  <si>
    <t>Amortyzacja przed objęciem kontroli</t>
  </si>
  <si>
    <t>Zysk / Strata brutto</t>
  </si>
  <si>
    <t>Zwiększenie/zmniejszenie stanu zapasów</t>
  </si>
  <si>
    <t>Zwiększenie/zmniejszenie stanu należności</t>
  </si>
  <si>
    <t>Zwiększenie/zmniejszenie stanu zobowiązań, z wyjątkiem kredytów i pożyczek oraz innych zobowiązań finansowych</t>
  </si>
  <si>
    <t>Zmiana stanu rozliczeń międzyokresowych</t>
  </si>
  <si>
    <t xml:space="preserve">Pozostałe </t>
  </si>
  <si>
    <t>Podatek dochodowy zapłacony</t>
  </si>
  <si>
    <t>Sprzedaż rzeczowych aktywów trwałych i aktywów niematerialnych</t>
  </si>
  <si>
    <t>Sprzedaż nieruchomości inwestycyjnych</t>
  </si>
  <si>
    <t>Sprzedaż inwestycji w jednostkach zależnych, stowarzyszonych i wspólnych przedsięwzięciach</t>
  </si>
  <si>
    <t xml:space="preserve">Spłata udzielonych pożyczek </t>
  </si>
  <si>
    <t>Nabycie rzeczowych akywów trwałych i aktywów niematerialnych</t>
  </si>
  <si>
    <t>Nabycie nieruchomości inwestycyjnych</t>
  </si>
  <si>
    <t>Nabycie inwestycji w jednostkach zależnych, stowarzyszonych i wspólnych przedsięwzięciach</t>
  </si>
  <si>
    <t>Udzielenie pożyczek</t>
  </si>
  <si>
    <t>Wpływy z tytułu emisji akcji</t>
  </si>
  <si>
    <t>Wpływy z tytułu zaciągnięcia pożyczek/kredytów</t>
  </si>
  <si>
    <t>Dywidendy wypłacone</t>
  </si>
  <si>
    <t>Spłaty pożyczek/kredytów</t>
  </si>
  <si>
    <t>Spłata zobowiązań z tytułu leasingu finansowego</t>
  </si>
  <si>
    <t>Odsetki zapłacone</t>
  </si>
  <si>
    <t>Rozliczenie międzyokresowe przychodów</t>
  </si>
  <si>
    <t>Spisanie aktywa do wysokości rezerwy</t>
  </si>
  <si>
    <t>korekta z tytułu leasingu finansowego</t>
  </si>
  <si>
    <t>Kapitał własny na dzień 31.12.2018</t>
  </si>
  <si>
    <t>Odpsisy aktualizujące prace rozwojowe</t>
  </si>
  <si>
    <t>zmiana stanu należności wynikająca z podatku dochodowego</t>
  </si>
  <si>
    <t>Nota 7. ZYSK PRZYPADAJĄCY NA JEDNĄ AKCJĘ</t>
  </si>
  <si>
    <t>Nota 9. RZECZOWE AKTYWA TRWAŁE</t>
  </si>
  <si>
    <t>Nota 10. WARTOŚCI NIEMATERIALNE</t>
  </si>
  <si>
    <t>Nota 11. WARTOŚĆ FIRMY</t>
  </si>
  <si>
    <t>Nota 12. INWESTYCJE W JEDNOSTKACH POWIĄZANYCH WYCENIANYCH METODĄ PRAW WŁASNOŚCI</t>
  </si>
  <si>
    <t>Inwestycje w jednostkach  stowarzyszonych i wspolnych przedsięwzieciach na dzień 31.12.2018  r.</t>
  </si>
  <si>
    <t>Inwestycje w jednostkach  stowarzyszonych i wspolnych przedsięwzieciach na dzień 31.12.2017 r.</t>
  </si>
  <si>
    <t>Nota 13. AKCJE / UDZIAŁY W JEDNOSTKACH PODPORZĄDKOWANYCH NIE OBJĘTYCH KONSOLIDACJĄ</t>
  </si>
  <si>
    <t xml:space="preserve">Nota 14. POZOSTAŁE AKTYWA FINANSOWE </t>
  </si>
  <si>
    <t xml:space="preserve">Nota 16. POZOSTAŁE NALEŻNOŚCI </t>
  </si>
  <si>
    <t xml:space="preserve">Nota 15. NALEŻNOŚCI HANDLOWE </t>
  </si>
  <si>
    <t>Nota 17. ROZLICZENIA MIĘDZYOKRESOWE</t>
  </si>
  <si>
    <t>Nota 18. ŚRODKI PIENIĘŻNE I ICH EKWIWALENTY</t>
  </si>
  <si>
    <t>Nota 19. KAPITAŁ ZAKŁADOWY</t>
  </si>
  <si>
    <t>Nota 20. POZOSTAŁE KAPITAŁY</t>
  </si>
  <si>
    <t>Nota 21. NIEPODZIELONY WYNIK FINANSOWY</t>
  </si>
  <si>
    <t>Nota 22. KAPITAŁ PRZYPADAJĄCY NA AKCJONARIUSZY NIEKONTROLUJĄCYCH</t>
  </si>
  <si>
    <t>Nota 23. KREDYTY I POŻYCZKI</t>
  </si>
  <si>
    <t xml:space="preserve">Nota 24. POZOSTAŁE ZOBOWIĄZANIA FINANSOWE </t>
  </si>
  <si>
    <t>Nota 25. ZOBOWIĄZANIA HANDLOWE</t>
  </si>
  <si>
    <t xml:space="preserve">Nota 26. POZOSTAŁE ZOBOWIĄZANIA </t>
  </si>
  <si>
    <t>Nota 27. Inne Rozliczenia międzyokresowe</t>
  </si>
  <si>
    <t>Nota 28. REZERWY NA ŚWIADCZENIA EMERYTALNE I PODOBNE</t>
  </si>
  <si>
    <t>Nota 29.  POZOSTAŁE REZERWY</t>
  </si>
  <si>
    <t>Nota 31. ZARZĄDZANIE KAPITAŁEM</t>
  </si>
  <si>
    <t>Nota 32. INFORMACJE O PODMIOTACH POWIĄZANYCH</t>
  </si>
  <si>
    <t>Nota 33. WYNAGRODZENIE WYŻSZEJ KADRY KIEROWNICZEJ</t>
  </si>
  <si>
    <t>Nota 34. STRUKTURA ZATRUDNIENIA</t>
  </si>
  <si>
    <t xml:space="preserve">Nota 40. INFORMACJE O TRANSAKCJACH Z PODMIOTEM DOKONUJĄCYM BADANIA SPRAWOZDANIA </t>
  </si>
  <si>
    <t>Nota 41. OBJAŚNIENIA DO SPAWOZDANIA Z PRZEPŁYWÓW PIENIĘŻNYCH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</si>
</sst>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z_ł_-;\-* #,##0.00\ _z_ł_-;_-* &quot;-&quot;??\ _z_ł_-;_-@_-"/>
    <numFmt numFmtId="164" formatCode="#,##0_);\(#,##0\);\-______"/>
    <numFmt numFmtId="165" formatCode="#,##0.00_);\(#,##0.00\);\-______"/>
    <numFmt numFmtId="166" formatCode="0.0%"/>
    <numFmt numFmtId="167" formatCode="0.00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23"/>
      <name val="Arial"/>
      <family val="2"/>
      <charset val="238"/>
    </font>
    <font>
      <sz val="8"/>
      <color indexed="55"/>
      <name val="Arial"/>
      <family val="2"/>
      <charset val="238"/>
    </font>
    <font>
      <i/>
      <sz val="8"/>
      <color indexed="55"/>
      <name val="Arial"/>
      <family val="2"/>
      <charset val="238"/>
    </font>
    <font>
      <b/>
      <sz val="11"/>
      <name val="Arial"/>
      <family val="2"/>
      <charset val="238"/>
    </font>
    <font>
      <i/>
      <sz val="8"/>
      <color indexed="22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u/>
      <sz val="12"/>
      <color indexed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color indexed="10"/>
      <name val="Arial"/>
      <family val="2"/>
      <charset val="238"/>
    </font>
    <font>
      <i/>
      <sz val="8"/>
      <color indexed="55"/>
      <name val="Arial"/>
      <family val="2"/>
      <charset val="238"/>
    </font>
    <font>
      <sz val="8"/>
      <name val="Arial"/>
      <family val="2"/>
      <charset val="238"/>
    </font>
    <font>
      <u/>
      <sz val="8"/>
      <color indexed="12"/>
      <name val="Arial"/>
      <family val="2"/>
      <charset val="238"/>
    </font>
    <font>
      <b/>
      <sz val="8"/>
      <name val="Arial"/>
      <family val="2"/>
      <charset val="238"/>
    </font>
    <font>
      <b/>
      <i/>
      <sz val="8"/>
      <name val="Arial"/>
      <family val="2"/>
      <charset val="238"/>
    </font>
    <font>
      <u/>
      <sz val="8"/>
      <color indexed="12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vertAlign val="superscript"/>
      <sz val="8"/>
      <color indexed="8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b/>
      <i/>
      <sz val="1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/>
    <xf numFmtId="0" fontId="19" fillId="0" borderId="0"/>
    <xf numFmtId="0" fontId="52" fillId="0" borderId="0"/>
    <xf numFmtId="0" fontId="18" fillId="0" borderId="0"/>
    <xf numFmtId="0" fontId="19" fillId="0" borderId="0"/>
    <xf numFmtId="0" fontId="2" fillId="0" borderId="0"/>
    <xf numFmtId="9" fontId="2" fillId="0" borderId="0" applyFont="0" applyFill="0" applyBorder="0" applyAlignment="0" applyProtection="0"/>
    <xf numFmtId="43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</cellStyleXfs>
  <cellXfs count="698">
    <xf numFmtId="0" fontId="0" fillId="0" borderId="0" xfId="0"/>
    <xf numFmtId="0" fontId="7" fillId="0" borderId="0" xfId="0" applyFont="1"/>
    <xf numFmtId="0" fontId="5" fillId="0" borderId="1" xfId="0" applyFont="1" applyBorder="1" applyAlignment="1">
      <alignment wrapText="1"/>
    </xf>
    <xf numFmtId="0" fontId="12" fillId="0" borderId="0" xfId="0" applyFont="1"/>
    <xf numFmtId="0" fontId="7" fillId="0" borderId="0" xfId="0" applyFont="1" applyAlignment="1">
      <alignment vertical="center"/>
    </xf>
    <xf numFmtId="0" fontId="13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 inden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164" fontId="8" fillId="0" borderId="0" xfId="8" applyNumberFormat="1" applyFont="1" applyProtection="1">
      <protection locked="0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8" fillId="0" borderId="0" xfId="7" applyFont="1"/>
    <xf numFmtId="0" fontId="18" fillId="2" borderId="0" xfId="7" applyFont="1" applyFill="1" applyAlignment="1">
      <alignment vertical="center"/>
    </xf>
    <xf numFmtId="0" fontId="25" fillId="0" borderId="0" xfId="7" applyFont="1" applyAlignment="1">
      <alignment vertical="center"/>
    </xf>
    <xf numFmtId="0" fontId="16" fillId="0" borderId="0" xfId="7" applyFont="1" applyAlignment="1">
      <alignment vertical="center"/>
    </xf>
    <xf numFmtId="0" fontId="18" fillId="0" borderId="0" xfId="7" applyFont="1" applyAlignment="1">
      <alignment vertical="center"/>
    </xf>
    <xf numFmtId="0" fontId="26" fillId="0" borderId="0" xfId="7" applyFont="1" applyAlignment="1">
      <alignment wrapText="1"/>
    </xf>
    <xf numFmtId="4" fontId="26" fillId="0" borderId="0" xfId="7" applyNumberFormat="1" applyFont="1" applyAlignment="1" applyProtection="1">
      <alignment wrapText="1"/>
      <protection locked="0"/>
    </xf>
    <xf numFmtId="0" fontId="26" fillId="0" borderId="0" xfId="7" applyFont="1"/>
    <xf numFmtId="4" fontId="18" fillId="0" borderId="0" xfId="7" applyNumberFormat="1" applyFont="1" applyAlignment="1" applyProtection="1">
      <alignment wrapText="1"/>
      <protection locked="0"/>
    </xf>
    <xf numFmtId="0" fontId="18" fillId="0" borderId="0" xfId="7" applyFont="1" applyAlignment="1">
      <alignment wrapText="1"/>
    </xf>
    <xf numFmtId="4" fontId="27" fillId="0" borderId="0" xfId="7" applyNumberFormat="1" applyFont="1" applyAlignment="1" applyProtection="1">
      <alignment wrapText="1"/>
      <protection locked="0"/>
    </xf>
    <xf numFmtId="0" fontId="18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2" fillId="0" borderId="0" xfId="0" applyFont="1"/>
    <xf numFmtId="0" fontId="26" fillId="0" borderId="0" xfId="7" applyFont="1" applyAlignment="1">
      <alignment vertical="center"/>
    </xf>
    <xf numFmtId="0" fontId="18" fillId="3" borderId="0" xfId="7" applyFont="1" applyFill="1" applyAlignment="1">
      <alignment vertical="center"/>
    </xf>
    <xf numFmtId="0" fontId="2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justify" wrapText="1"/>
    </xf>
    <xf numFmtId="0" fontId="9" fillId="0" borderId="0" xfId="2" quotePrefix="1" applyProtection="1">
      <alignment vertical="top"/>
    </xf>
    <xf numFmtId="0" fontId="18" fillId="0" borderId="0" xfId="0" applyFont="1"/>
    <xf numFmtId="0" fontId="8" fillId="0" borderId="1" xfId="0" applyFont="1" applyBorder="1" applyAlignment="1">
      <alignment horizontal="left"/>
    </xf>
    <xf numFmtId="0" fontId="28" fillId="0" borderId="0" xfId="0" applyFont="1"/>
    <xf numFmtId="0" fontId="28" fillId="0" borderId="0" xfId="0" applyFont="1" applyAlignment="1">
      <alignment vertical="center"/>
    </xf>
    <xf numFmtId="0" fontId="29" fillId="0" borderId="1" xfId="0" applyFont="1" applyBorder="1" applyAlignment="1">
      <alignment wrapText="1"/>
    </xf>
    <xf numFmtId="0" fontId="3" fillId="0" borderId="0" xfId="0" applyFont="1"/>
    <xf numFmtId="3" fontId="8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3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8" fillId="0" borderId="1" xfId="0" applyFont="1" applyBorder="1" applyAlignment="1">
      <alignment wrapText="1"/>
    </xf>
    <xf numFmtId="0" fontId="5" fillId="0" borderId="0" xfId="0" applyFont="1" applyAlignment="1">
      <alignment horizontal="justify" vertical="top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top" wrapText="1"/>
    </xf>
    <xf numFmtId="0" fontId="8" fillId="0" borderId="3" xfId="0" applyFont="1" applyBorder="1" applyAlignment="1">
      <alignment wrapText="1"/>
    </xf>
    <xf numFmtId="0" fontId="0" fillId="0" borderId="0" xfId="0" applyAlignment="1">
      <alignment vertical="top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horizontal="justify" vertical="top" wrapText="1"/>
    </xf>
    <xf numFmtId="0" fontId="4" fillId="0" borderId="3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5" fillId="0" borderId="1" xfId="0" applyFont="1" applyBorder="1" applyAlignment="1">
      <alignment horizontal="left" wrapText="1"/>
    </xf>
    <xf numFmtId="3" fontId="8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3" fontId="7" fillId="0" borderId="1" xfId="0" applyNumberFormat="1" applyFont="1" applyBorder="1"/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7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horizontal="justify"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11" fillId="0" borderId="0" xfId="0" applyFont="1"/>
    <xf numFmtId="49" fontId="8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3" fontId="8" fillId="0" borderId="1" xfId="0" applyNumberFormat="1" applyFont="1" applyBorder="1"/>
    <xf numFmtId="3" fontId="8" fillId="0" borderId="4" xfId="0" applyNumberFormat="1" applyFont="1" applyBorder="1"/>
    <xf numFmtId="0" fontId="12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1" xfId="0" applyFont="1" applyBorder="1" applyAlignment="1">
      <alignment horizontal="left" wrapText="1" indent="1"/>
    </xf>
    <xf numFmtId="3" fontId="8" fillId="0" borderId="1" xfId="0" quotePrefix="1" applyNumberFormat="1" applyFont="1" applyBorder="1"/>
    <xf numFmtId="0" fontId="8" fillId="0" borderId="0" xfId="0" applyFont="1" applyAlignment="1">
      <alignment horizontal="right" wrapText="1"/>
    </xf>
    <xf numFmtId="3" fontId="7" fillId="0" borderId="0" xfId="0" quotePrefix="1" applyNumberFormat="1" applyFont="1"/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wrapText="1"/>
    </xf>
    <xf numFmtId="0" fontId="8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8" fillId="0" borderId="0" xfId="0" applyFont="1" applyAlignment="1">
      <alignment horizontal="justify" vertical="center" wrapText="1"/>
    </xf>
    <xf numFmtId="0" fontId="8" fillId="0" borderId="0" xfId="0" applyFont="1" applyAlignment="1">
      <alignment horizontal="justify"/>
    </xf>
    <xf numFmtId="0" fontId="8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0" fillId="0" borderId="0" xfId="0" applyFont="1" applyAlignment="1">
      <alignment horizontal="justify"/>
    </xf>
    <xf numFmtId="0" fontId="8" fillId="4" borderId="1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vertical="center"/>
    </xf>
    <xf numFmtId="0" fontId="31" fillId="0" borderId="1" xfId="0" applyFont="1" applyBorder="1" applyAlignment="1">
      <alignment wrapText="1"/>
    </xf>
    <xf numFmtId="0" fontId="5" fillId="0" borderId="1" xfId="0" quotePrefix="1" applyFont="1" applyBorder="1" applyAlignment="1">
      <alignment vertical="top" wrapText="1"/>
    </xf>
    <xf numFmtId="0" fontId="14" fillId="0" borderId="0" xfId="0" applyFont="1"/>
    <xf numFmtId="0" fontId="6" fillId="0" borderId="0" xfId="0" applyFont="1" applyAlignment="1">
      <alignment horizontal="justify"/>
    </xf>
    <xf numFmtId="0" fontId="3" fillId="0" borderId="1" xfId="0" quotePrefix="1" applyFont="1" applyBorder="1"/>
    <xf numFmtId="3" fontId="8" fillId="0" borderId="1" xfId="0" applyNumberFormat="1" applyFont="1" applyBorder="1" applyAlignment="1">
      <alignment vertical="center"/>
    </xf>
    <xf numFmtId="0" fontId="8" fillId="4" borderId="2" xfId="0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8" fillId="0" borderId="1" xfId="8" applyNumberFormat="1" applyFont="1" applyBorder="1" applyProtection="1">
      <protection locked="0"/>
    </xf>
    <xf numFmtId="3" fontId="8" fillId="0" borderId="1" xfId="8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horizontal="justify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horizontal="justify" vertical="center"/>
    </xf>
    <xf numFmtId="0" fontId="8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15" fillId="0" borderId="0" xfId="0" applyFont="1" applyAlignment="1">
      <alignment horizontal="justify" wrapText="1"/>
    </xf>
    <xf numFmtId="49" fontId="31" fillId="0" borderId="1" xfId="0" applyNumberFormat="1" applyFont="1" applyBorder="1" applyAlignment="1">
      <alignment wrapText="1"/>
    </xf>
    <xf numFmtId="164" fontId="8" fillId="4" borderId="1" xfId="8" applyNumberFormat="1" applyFont="1" applyFill="1" applyBorder="1" applyAlignment="1" applyProtection="1">
      <alignment horizontal="center" vertical="center"/>
      <protection locked="0"/>
    </xf>
    <xf numFmtId="166" fontId="8" fillId="0" borderId="0" xfId="8" applyNumberFormat="1" applyFont="1" applyProtection="1">
      <protection locked="0"/>
    </xf>
    <xf numFmtId="0" fontId="8" fillId="4" borderId="1" xfId="0" applyFont="1" applyFill="1" applyBorder="1" applyAlignment="1">
      <alignment horizontal="right" wrapText="1"/>
    </xf>
    <xf numFmtId="0" fontId="4" fillId="0" borderId="1" xfId="0" applyFont="1" applyBorder="1" applyAlignment="1">
      <alignment horizontal="justify" vertical="top" wrapText="1"/>
    </xf>
    <xf numFmtId="0" fontId="8" fillId="0" borderId="0" xfId="0" applyFont="1" applyAlignment="1">
      <alignment vertical="top" wrapText="1"/>
    </xf>
    <xf numFmtId="0" fontId="3" fillId="0" borderId="1" xfId="0" applyFont="1" applyBorder="1" applyAlignment="1">
      <alignment vertical="top" wrapText="1"/>
    </xf>
    <xf numFmtId="3" fontId="8" fillId="0" borderId="0" xfId="8" applyNumberFormat="1" applyFont="1" applyProtection="1">
      <protection locked="0"/>
    </xf>
    <xf numFmtId="3" fontId="8" fillId="0" borderId="1" xfId="0" applyNumberFormat="1" applyFont="1" applyBorder="1" applyAlignment="1">
      <alignment horizontal="right"/>
    </xf>
    <xf numFmtId="0" fontId="15" fillId="0" borderId="0" xfId="0" applyFont="1" applyAlignment="1">
      <alignment vertical="center" wrapText="1"/>
    </xf>
    <xf numFmtId="0" fontId="4" fillId="0" borderId="0" xfId="0" applyFont="1" applyAlignment="1">
      <alignment horizontal="left"/>
    </xf>
    <xf numFmtId="3" fontId="5" fillId="0" borderId="1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vertical="center" wrapText="1"/>
    </xf>
    <xf numFmtId="3" fontId="4" fillId="0" borderId="4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top" wrapText="1"/>
    </xf>
    <xf numFmtId="3" fontId="4" fillId="0" borderId="4" xfId="0" applyNumberFormat="1" applyFont="1" applyBorder="1" applyAlignment="1">
      <alignment horizontal="center" vertical="center" wrapText="1"/>
    </xf>
    <xf numFmtId="3" fontId="8" fillId="0" borderId="1" xfId="0" quotePrefix="1" applyNumberFormat="1" applyFont="1" applyBorder="1" applyAlignment="1">
      <alignment vertical="center"/>
    </xf>
    <xf numFmtId="3" fontId="8" fillId="0" borderId="3" xfId="0" applyNumberFormat="1" applyFont="1" applyBorder="1"/>
    <xf numFmtId="3" fontId="8" fillId="0" borderId="5" xfId="0" applyNumberFormat="1" applyFont="1" applyBorder="1"/>
    <xf numFmtId="3" fontId="3" fillId="0" borderId="1" xfId="8" applyNumberFormat="1" applyFont="1" applyBorder="1" applyProtection="1">
      <protection locked="0"/>
    </xf>
    <xf numFmtId="0" fontId="0" fillId="4" borderId="0" xfId="0" applyFill="1"/>
    <xf numFmtId="0" fontId="12" fillId="0" borderId="1" xfId="0" applyFont="1" applyBorder="1" applyAlignment="1">
      <alignment wrapText="1"/>
    </xf>
    <xf numFmtId="165" fontId="8" fillId="0" borderId="0" xfId="0" applyNumberFormat="1" applyFont="1"/>
    <xf numFmtId="3" fontId="8" fillId="0" borderId="1" xfId="0" applyNumberFormat="1" applyFont="1" applyBorder="1" applyAlignment="1">
      <alignment horizontal="right" vertical="center"/>
    </xf>
    <xf numFmtId="3" fontId="8" fillId="0" borderId="3" xfId="8" applyNumberFormat="1" applyFont="1" applyBorder="1" applyProtection="1">
      <protection locked="0"/>
    </xf>
    <xf numFmtId="3" fontId="3" fillId="0" borderId="1" xfId="0" applyNumberFormat="1" applyFont="1" applyBorder="1" applyAlignment="1">
      <alignment horizontal="right"/>
    </xf>
    <xf numFmtId="0" fontId="5" fillId="0" borderId="7" xfId="0" applyFont="1" applyBorder="1" applyAlignment="1">
      <alignment vertical="top" wrapText="1"/>
    </xf>
    <xf numFmtId="3" fontId="5" fillId="0" borderId="8" xfId="0" applyNumberFormat="1" applyFont="1" applyBorder="1" applyAlignment="1">
      <alignment vertical="top" wrapText="1"/>
    </xf>
    <xf numFmtId="0" fontId="4" fillId="0" borderId="0" xfId="0" applyFont="1" applyAlignment="1">
      <alignment horizontal="justify" vertical="top" wrapText="1"/>
    </xf>
    <xf numFmtId="0" fontId="4" fillId="0" borderId="9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left" vertical="top" wrapText="1" indent="3"/>
    </xf>
    <xf numFmtId="0" fontId="11" fillId="0" borderId="1" xfId="0" applyFont="1" applyBorder="1" applyAlignment="1">
      <alignment horizontal="left" wrapText="1"/>
    </xf>
    <xf numFmtId="3" fontId="4" fillId="0" borderId="1" xfId="0" applyNumberFormat="1" applyFont="1" applyBorder="1" applyAlignment="1">
      <alignment horizontal="right" wrapText="1"/>
    </xf>
    <xf numFmtId="0" fontId="21" fillId="0" borderId="0" xfId="2" quotePrefix="1" applyFont="1" applyProtection="1">
      <alignment vertical="top"/>
    </xf>
    <xf numFmtId="0" fontId="3" fillId="0" borderId="0" xfId="7" applyFont="1"/>
    <xf numFmtId="0" fontId="34" fillId="0" borderId="0" xfId="2" quotePrefix="1" applyFont="1" applyProtection="1">
      <alignment vertical="top"/>
    </xf>
    <xf numFmtId="0" fontId="28" fillId="0" borderId="0" xfId="7" applyFont="1"/>
    <xf numFmtId="0" fontId="28" fillId="2" borderId="0" xfId="7" applyFont="1" applyFill="1" applyAlignment="1">
      <alignment vertical="center"/>
    </xf>
    <xf numFmtId="0" fontId="8" fillId="0" borderId="0" xfId="7" applyFont="1" applyAlignment="1">
      <alignment vertical="center"/>
    </xf>
    <xf numFmtId="49" fontId="28" fillId="0" borderId="1" xfId="7" applyNumberFormat="1" applyFont="1" applyBorder="1" applyAlignment="1">
      <alignment vertical="center" wrapText="1"/>
    </xf>
    <xf numFmtId="0" fontId="28" fillId="0" borderId="0" xfId="7" applyFont="1" applyAlignment="1">
      <alignment vertical="center"/>
    </xf>
    <xf numFmtId="49" fontId="8" fillId="0" borderId="1" xfId="7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justify" vertical="center" wrapText="1"/>
    </xf>
    <xf numFmtId="49" fontId="28" fillId="0" borderId="1" xfId="7" applyNumberFormat="1" applyFont="1" applyBorder="1" applyAlignment="1">
      <alignment horizontal="left" vertical="center" wrapText="1"/>
    </xf>
    <xf numFmtId="0" fontId="28" fillId="0" borderId="0" xfId="7" applyFont="1" applyAlignment="1">
      <alignment wrapText="1"/>
    </xf>
    <xf numFmtId="4" fontId="28" fillId="0" borderId="0" xfId="7" applyNumberFormat="1" applyFont="1" applyAlignment="1" applyProtection="1">
      <alignment wrapText="1"/>
      <protection locked="0"/>
    </xf>
    <xf numFmtId="0" fontId="28" fillId="0" borderId="0" xfId="0" applyFont="1" applyAlignment="1">
      <alignment horizontal="left"/>
    </xf>
    <xf numFmtId="0" fontId="8" fillId="4" borderId="1" xfId="7" applyFont="1" applyFill="1" applyBorder="1" applyAlignment="1">
      <alignment horizontal="center" vertical="center" wrapText="1"/>
    </xf>
    <xf numFmtId="49" fontId="8" fillId="0" borderId="1" xfId="7" applyNumberFormat="1" applyFont="1" applyBorder="1" applyAlignment="1">
      <alignment vertical="center" wrapText="1"/>
    </xf>
    <xf numFmtId="49" fontId="3" fillId="0" borderId="1" xfId="7" applyNumberFormat="1" applyFont="1" applyBorder="1" applyAlignment="1">
      <alignment horizontal="center" vertical="center" wrapText="1"/>
    </xf>
    <xf numFmtId="49" fontId="12" fillId="0" borderId="1" xfId="7" applyNumberFormat="1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vertical="center" wrapText="1"/>
    </xf>
    <xf numFmtId="0" fontId="3" fillId="0" borderId="0" xfId="7" applyFont="1" applyAlignment="1">
      <alignment vertical="center"/>
    </xf>
    <xf numFmtId="49" fontId="28" fillId="0" borderId="1" xfId="7" applyNumberFormat="1" applyFont="1" applyBorder="1" applyAlignment="1">
      <alignment wrapText="1"/>
    </xf>
    <xf numFmtId="49" fontId="8" fillId="4" borderId="1" xfId="7" applyNumberFormat="1" applyFont="1" applyFill="1" applyBorder="1" applyAlignment="1">
      <alignment horizontal="center" vertical="center" wrapText="1"/>
    </xf>
    <xf numFmtId="49" fontId="8" fillId="4" borderId="4" xfId="7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justify" vertical="center"/>
    </xf>
    <xf numFmtId="0" fontId="30" fillId="0" borderId="0" xfId="0" applyFont="1"/>
    <xf numFmtId="0" fontId="28" fillId="0" borderId="1" xfId="0" applyFont="1" applyBorder="1" applyAlignment="1">
      <alignment horizontal="left" wrapText="1"/>
    </xf>
    <xf numFmtId="3" fontId="30" fillId="0" borderId="1" xfId="0" applyNumberFormat="1" applyFont="1" applyBorder="1"/>
    <xf numFmtId="0" fontId="28" fillId="0" borderId="0" xfId="0" applyFont="1" applyAlignment="1">
      <alignment wrapText="1"/>
    </xf>
    <xf numFmtId="0" fontId="32" fillId="0" borderId="0" xfId="0" applyFont="1" applyAlignment="1">
      <alignment wrapText="1"/>
    </xf>
    <xf numFmtId="3" fontId="3" fillId="0" borderId="1" xfId="0" applyNumberFormat="1" applyFont="1" applyBorder="1"/>
    <xf numFmtId="0" fontId="12" fillId="0" borderId="0" xfId="0" applyFont="1" applyAlignment="1">
      <alignment horizontal="left" wrapText="1"/>
    </xf>
    <xf numFmtId="3" fontId="12" fillId="0" borderId="1" xfId="0" applyNumberFormat="1" applyFont="1" applyBorder="1"/>
    <xf numFmtId="49" fontId="3" fillId="0" borderId="3" xfId="0" applyNumberFormat="1" applyFont="1" applyBorder="1" applyAlignment="1">
      <alignment wrapText="1"/>
    </xf>
    <xf numFmtId="49" fontId="12" fillId="0" borderId="1" xfId="0" applyNumberFormat="1" applyFont="1" applyBorder="1" applyAlignment="1">
      <alignment wrapText="1"/>
    </xf>
    <xf numFmtId="3" fontId="28" fillId="0" borderId="1" xfId="0" applyNumberFormat="1" applyFont="1" applyBorder="1"/>
    <xf numFmtId="0" fontId="3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 wrapText="1"/>
    </xf>
    <xf numFmtId="3" fontId="28" fillId="0" borderId="1" xfId="8" applyNumberFormat="1" applyFont="1" applyBorder="1" applyProtection="1">
      <protection locked="0"/>
    </xf>
    <xf numFmtId="0" fontId="33" fillId="0" borderId="0" xfId="0" applyFont="1"/>
    <xf numFmtId="0" fontId="35" fillId="0" borderId="0" xfId="0" applyFont="1" applyAlignment="1">
      <alignment horizontal="left"/>
    </xf>
    <xf numFmtId="3" fontId="35" fillId="0" borderId="1" xfId="0" applyNumberFormat="1" applyFont="1" applyBorder="1"/>
    <xf numFmtId="0" fontId="33" fillId="0" borderId="0" xfId="0" applyFont="1" applyAlignment="1">
      <alignment vertical="center"/>
    </xf>
    <xf numFmtId="3" fontId="33" fillId="0" borderId="1" xfId="0" applyNumberFormat="1" applyFont="1" applyBorder="1"/>
    <xf numFmtId="0" fontId="35" fillId="4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3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3" fontId="28" fillId="0" borderId="0" xfId="0" applyNumberFormat="1" applyFont="1"/>
    <xf numFmtId="3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5" fillId="0" borderId="1" xfId="0" applyNumberFormat="1" applyFont="1" applyBorder="1" applyAlignment="1">
      <alignment vertical="top" wrapText="1"/>
    </xf>
    <xf numFmtId="0" fontId="28" fillId="0" borderId="1" xfId="0" applyFont="1" applyBorder="1" applyAlignment="1">
      <alignment wrapText="1"/>
    </xf>
    <xf numFmtId="3" fontId="3" fillId="0" borderId="3" xfId="8" applyNumberFormat="1" applyFont="1" applyBorder="1" applyProtection="1">
      <protection locked="0"/>
    </xf>
    <xf numFmtId="3" fontId="28" fillId="0" borderId="1" xfId="0" applyNumberFormat="1" applyFont="1" applyBorder="1" applyAlignment="1">
      <alignment horizontal="right" wrapText="1"/>
    </xf>
    <xf numFmtId="3" fontId="7" fillId="0" borderId="1" xfId="0" applyNumberFormat="1" applyFont="1" applyBorder="1" applyAlignment="1">
      <alignment horizontal="right" wrapText="1"/>
    </xf>
    <xf numFmtId="3" fontId="12" fillId="0" borderId="1" xfId="8" applyNumberFormat="1" applyFont="1" applyBorder="1" applyProtection="1">
      <protection locked="0"/>
    </xf>
    <xf numFmtId="0" fontId="3" fillId="0" borderId="1" xfId="0" quotePrefix="1" applyFont="1" applyBorder="1" applyAlignment="1">
      <alignment vertical="top" wrapText="1"/>
    </xf>
    <xf numFmtId="0" fontId="28" fillId="4" borderId="1" xfId="0" applyFont="1" applyFill="1" applyBorder="1" applyAlignment="1">
      <alignment horizontal="center"/>
    </xf>
    <xf numFmtId="3" fontId="28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 wrapText="1"/>
    </xf>
    <xf numFmtId="3" fontId="5" fillId="0" borderId="1" xfId="0" applyNumberFormat="1" applyFont="1" applyBorder="1" applyAlignment="1">
      <alignment horizontal="center" wrapText="1"/>
    </xf>
    <xf numFmtId="3" fontId="4" fillId="0" borderId="0" xfId="0" applyNumberFormat="1" applyFont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3" fontId="7" fillId="0" borderId="0" xfId="0" applyNumberFormat="1" applyFont="1"/>
    <xf numFmtId="3" fontId="8" fillId="0" borderId="1" xfId="8" applyNumberFormat="1" applyFont="1" applyBorder="1" applyAlignment="1" applyProtection="1">
      <alignment horizontal="center"/>
      <protection locked="0"/>
    </xf>
    <xf numFmtId="3" fontId="31" fillId="0" borderId="1" xfId="0" applyNumberFormat="1" applyFont="1" applyBorder="1" applyAlignment="1">
      <alignment horizontal="left" wrapText="1"/>
    </xf>
    <xf numFmtId="3" fontId="8" fillId="0" borderId="1" xfId="0" applyNumberFormat="1" applyFont="1" applyBorder="1" applyAlignment="1">
      <alignment horizontal="left" wrapText="1"/>
    </xf>
    <xf numFmtId="0" fontId="7" fillId="0" borderId="0" xfId="0" applyFont="1" applyAlignment="1">
      <alignment horizontal="justify" vertical="center"/>
    </xf>
    <xf numFmtId="3" fontId="3" fillId="0" borderId="1" xfId="0" quotePrefix="1" applyNumberFormat="1" applyFont="1" applyBorder="1"/>
    <xf numFmtId="0" fontId="37" fillId="0" borderId="0" xfId="2" quotePrefix="1" applyFont="1" applyProtection="1">
      <alignment vertical="top"/>
    </xf>
    <xf numFmtId="0" fontId="36" fillId="0" borderId="0" xfId="0" applyFont="1"/>
    <xf numFmtId="0" fontId="35" fillId="0" borderId="0" xfId="0" applyFont="1"/>
    <xf numFmtId="0" fontId="33" fillId="0" borderId="1" xfId="0" applyFont="1" applyBorder="1" applyAlignment="1">
      <alignment horizontal="left" vertical="center"/>
    </xf>
    <xf numFmtId="3" fontId="33" fillId="0" borderId="1" xfId="0" applyNumberFormat="1" applyFont="1" applyBorder="1" applyAlignment="1">
      <alignment wrapText="1"/>
    </xf>
    <xf numFmtId="0" fontId="33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3" fontId="35" fillId="0" borderId="0" xfId="0" applyNumberFormat="1" applyFont="1" applyAlignment="1">
      <alignment horizontal="right" vertical="center" wrapText="1"/>
    </xf>
    <xf numFmtId="0" fontId="35" fillId="0" borderId="0" xfId="0" applyFont="1" applyAlignment="1">
      <alignment horizontal="right" wrapText="1"/>
    </xf>
    <xf numFmtId="164" fontId="35" fillId="4" borderId="1" xfId="8" applyNumberFormat="1" applyFont="1" applyFill="1" applyBorder="1" applyAlignment="1" applyProtection="1">
      <alignment horizontal="center" vertical="center" wrapText="1"/>
      <protection locked="0"/>
    </xf>
    <xf numFmtId="164" fontId="35" fillId="4" borderId="10" xfId="8" applyNumberFormat="1" applyFont="1" applyFill="1" applyBorder="1" applyAlignment="1" applyProtection="1">
      <alignment horizontal="center" vertical="center" wrapText="1"/>
      <protection locked="0"/>
    </xf>
    <xf numFmtId="164" fontId="35" fillId="4" borderId="4" xfId="8" applyNumberFormat="1" applyFont="1" applyFill="1" applyBorder="1" applyAlignment="1" applyProtection="1">
      <alignment horizontal="center" vertical="center" wrapText="1"/>
      <protection locked="0"/>
    </xf>
    <xf numFmtId="3" fontId="35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wrapText="1"/>
    </xf>
    <xf numFmtId="3" fontId="36" fillId="0" borderId="1" xfId="0" applyNumberFormat="1" applyFont="1" applyBorder="1"/>
    <xf numFmtId="0" fontId="38" fillId="0" borderId="0" xfId="0" applyFont="1"/>
    <xf numFmtId="0" fontId="33" fillId="0" borderId="1" xfId="0" applyFont="1" applyBorder="1" applyAlignment="1">
      <alignment wrapText="1"/>
    </xf>
    <xf numFmtId="3" fontId="35" fillId="0" borderId="5" xfId="0" applyNumberFormat="1" applyFont="1" applyBorder="1" applyAlignment="1">
      <alignment vertical="center"/>
    </xf>
    <xf numFmtId="3" fontId="35" fillId="0" borderId="5" xfId="0" applyNumberFormat="1" applyFont="1" applyBorder="1"/>
    <xf numFmtId="0" fontId="39" fillId="0" borderId="0" xfId="0" applyFont="1" applyAlignment="1">
      <alignment vertical="center" wrapText="1"/>
    </xf>
    <xf numFmtId="0" fontId="39" fillId="0" borderId="0" xfId="0" applyFont="1" applyAlignment="1">
      <alignment vertical="center"/>
    </xf>
    <xf numFmtId="0" fontId="39" fillId="0" borderId="0" xfId="0" applyFont="1" applyAlignment="1">
      <alignment wrapText="1"/>
    </xf>
    <xf numFmtId="0" fontId="40" fillId="0" borderId="0" xfId="0" applyFont="1"/>
    <xf numFmtId="0" fontId="41" fillId="0" borderId="0" xfId="0" applyFont="1" applyAlignment="1">
      <alignment wrapText="1"/>
    </xf>
    <xf numFmtId="0" fontId="39" fillId="0" borderId="0" xfId="0" applyFont="1" applyAlignment="1" applyProtection="1">
      <alignment horizontal="center"/>
      <protection locked="0"/>
    </xf>
    <xf numFmtId="0" fontId="40" fillId="0" borderId="0" xfId="0" applyFont="1" applyAlignment="1">
      <alignment horizontal="center"/>
    </xf>
    <xf numFmtId="0" fontId="40" fillId="0" borderId="0" xfId="0" applyFont="1" applyAlignment="1">
      <alignment wrapText="1"/>
    </xf>
    <xf numFmtId="0" fontId="39" fillId="0" borderId="0" xfId="0" applyFont="1" applyAlignment="1" applyProtection="1">
      <alignment horizontal="center" wrapText="1"/>
      <protection locked="0"/>
    </xf>
    <xf numFmtId="0" fontId="39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20" fillId="0" borderId="0" xfId="7" applyFont="1" applyAlignment="1">
      <alignment vertical="center"/>
    </xf>
    <xf numFmtId="49" fontId="12" fillId="0" borderId="1" xfId="7" applyNumberFormat="1" applyFont="1" applyBorder="1" applyAlignment="1">
      <alignment horizontal="center" vertical="center" wrapText="1"/>
    </xf>
    <xf numFmtId="3" fontId="8" fillId="0" borderId="1" xfId="7" applyNumberFormat="1" applyFont="1" applyBorder="1" applyAlignment="1">
      <alignment horizontal="right" vertical="center" wrapText="1"/>
    </xf>
    <xf numFmtId="3" fontId="28" fillId="0" borderId="1" xfId="7" applyNumberFormat="1" applyFont="1" applyBorder="1" applyAlignment="1" applyProtection="1">
      <alignment horizontal="right" vertical="center" wrapText="1"/>
      <protection locked="0"/>
    </xf>
    <xf numFmtId="3" fontId="8" fillId="0" borderId="1" xfId="7" applyNumberFormat="1" applyFont="1" applyBorder="1" applyAlignment="1" applyProtection="1">
      <alignment horizontal="right" vertical="center" wrapText="1"/>
      <protection locked="0"/>
    </xf>
    <xf numFmtId="3" fontId="28" fillId="0" borderId="1" xfId="7" applyNumberFormat="1" applyFont="1" applyBorder="1" applyAlignment="1">
      <alignment horizontal="right" vertical="center" wrapText="1"/>
    </xf>
    <xf numFmtId="3" fontId="12" fillId="0" borderId="1" xfId="7" applyNumberFormat="1" applyFont="1" applyBorder="1" applyAlignment="1">
      <alignment horizontal="right" vertical="center" wrapText="1"/>
    </xf>
    <xf numFmtId="3" fontId="3" fillId="0" borderId="1" xfId="7" applyNumberFormat="1" applyFont="1" applyBorder="1" applyAlignment="1">
      <alignment horizontal="right" vertical="center" wrapText="1"/>
    </xf>
    <xf numFmtId="3" fontId="12" fillId="0" borderId="1" xfId="7" applyNumberFormat="1" applyFont="1" applyBorder="1" applyAlignment="1" applyProtection="1">
      <alignment horizontal="right" vertical="center" wrapText="1"/>
      <protection locked="0"/>
    </xf>
    <xf numFmtId="3" fontId="8" fillId="0" borderId="1" xfId="0" applyNumberFormat="1" applyFont="1" applyBorder="1" applyAlignment="1">
      <alignment horizontal="left" vertical="center" wrapText="1"/>
    </xf>
    <xf numFmtId="3" fontId="28" fillId="0" borderId="1" xfId="0" applyNumberFormat="1" applyFont="1" applyBorder="1" applyAlignment="1">
      <alignment horizontal="left" vertical="center"/>
    </xf>
    <xf numFmtId="3" fontId="28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left" vertical="center"/>
    </xf>
    <xf numFmtId="3" fontId="8" fillId="0" borderId="1" xfId="7" applyNumberFormat="1" applyFont="1" applyBorder="1" applyAlignment="1">
      <alignment horizontal="right" vertical="center"/>
    </xf>
    <xf numFmtId="3" fontId="3" fillId="0" borderId="1" xfId="7" applyNumberFormat="1" applyFont="1" applyBorder="1" applyAlignment="1">
      <alignment horizontal="right" vertical="center"/>
    </xf>
    <xf numFmtId="3" fontId="28" fillId="0" borderId="1" xfId="7" applyNumberFormat="1" applyFont="1" applyBorder="1" applyAlignment="1" applyProtection="1">
      <alignment horizontal="right" vertical="center"/>
      <protection locked="0"/>
    </xf>
    <xf numFmtId="3" fontId="8" fillId="0" borderId="1" xfId="7" applyNumberFormat="1" applyFont="1" applyBorder="1" applyAlignment="1">
      <alignment horizontal="left" vertical="center" wrapText="1" indent="1"/>
    </xf>
    <xf numFmtId="3" fontId="28" fillId="0" borderId="1" xfId="7" applyNumberFormat="1" applyFont="1" applyBorder="1" applyAlignment="1">
      <alignment horizontal="left" vertical="center" wrapText="1" indent="1"/>
    </xf>
    <xf numFmtId="3" fontId="8" fillId="0" borderId="1" xfId="7" applyNumberFormat="1" applyFont="1" applyBorder="1" applyAlignment="1">
      <alignment vertical="center" wrapText="1"/>
    </xf>
    <xf numFmtId="3" fontId="8" fillId="0" borderId="1" xfId="7" applyNumberFormat="1" applyFont="1" applyBorder="1" applyAlignment="1">
      <alignment horizontal="left" vertical="center" indent="1"/>
    </xf>
    <xf numFmtId="3" fontId="8" fillId="3" borderId="1" xfId="7" applyNumberFormat="1" applyFont="1" applyFill="1" applyBorder="1" applyAlignment="1">
      <alignment horizontal="right" vertical="center"/>
    </xf>
    <xf numFmtId="3" fontId="8" fillId="0" borderId="1" xfId="7" applyNumberFormat="1" applyFont="1" applyBorder="1" applyAlignment="1" applyProtection="1">
      <alignment vertical="center" wrapText="1"/>
      <protection locked="0"/>
    </xf>
    <xf numFmtId="3" fontId="8" fillId="0" borderId="1" xfId="7" applyNumberFormat="1" applyFont="1" applyBorder="1" applyAlignment="1">
      <alignment horizontal="left" vertical="center" wrapText="1"/>
    </xf>
    <xf numFmtId="3" fontId="28" fillId="0" borderId="1" xfId="7" applyNumberFormat="1" applyFont="1" applyBorder="1" applyAlignment="1">
      <alignment horizontal="left" vertical="center" wrapText="1"/>
    </xf>
    <xf numFmtId="3" fontId="3" fillId="5" borderId="0" xfId="0" applyNumberFormat="1" applyFont="1" applyFill="1" applyAlignment="1">
      <alignment horizontal="right" wrapText="1"/>
    </xf>
    <xf numFmtId="3" fontId="28" fillId="5" borderId="0" xfId="0" applyNumberFormat="1" applyFont="1" applyFill="1"/>
    <xf numFmtId="3" fontId="5" fillId="5" borderId="0" xfId="0" applyNumberFormat="1" applyFont="1" applyFill="1" applyAlignment="1">
      <alignment horizontal="right" vertical="top" wrapText="1"/>
    </xf>
    <xf numFmtId="3" fontId="5" fillId="5" borderId="0" xfId="0" applyNumberFormat="1" applyFont="1" applyFill="1" applyAlignment="1">
      <alignment vertical="top" wrapText="1"/>
    </xf>
    <xf numFmtId="0" fontId="31" fillId="0" borderId="0" xfId="0" applyFont="1" applyAlignment="1">
      <alignment horizontal="left"/>
    </xf>
    <xf numFmtId="0" fontId="3" fillId="0" borderId="0" xfId="0" applyFont="1" applyAlignment="1">
      <alignment horizontal="justify"/>
    </xf>
    <xf numFmtId="3" fontId="7" fillId="5" borderId="0" xfId="0" applyNumberFormat="1" applyFont="1" applyFill="1"/>
    <xf numFmtId="3" fontId="33" fillId="5" borderId="0" xfId="0" applyNumberFormat="1" applyFont="1" applyFill="1"/>
    <xf numFmtId="3" fontId="35" fillId="0" borderId="11" xfId="0" applyNumberFormat="1" applyFont="1" applyBorder="1" applyAlignment="1">
      <alignment vertical="center"/>
    </xf>
    <xf numFmtId="3" fontId="33" fillId="0" borderId="0" xfId="0" applyNumberFormat="1" applyFont="1"/>
    <xf numFmtId="3" fontId="8" fillId="0" borderId="11" xfId="0" applyNumberFormat="1" applyFont="1" applyBorder="1"/>
    <xf numFmtId="3" fontId="3" fillId="5" borderId="0" xfId="0" applyNumberFormat="1" applyFont="1" applyFill="1"/>
    <xf numFmtId="3" fontId="28" fillId="0" borderId="1" xfId="8" applyNumberFormat="1" applyFont="1" applyBorder="1" applyAlignment="1" applyProtection="1">
      <alignment wrapText="1"/>
      <protection locked="0"/>
    </xf>
    <xf numFmtId="3" fontId="8" fillId="0" borderId="0" xfId="1" applyNumberFormat="1" applyFont="1" applyProtection="1">
      <protection locked="0"/>
    </xf>
    <xf numFmtId="0" fontId="31" fillId="0" borderId="0" xfId="0" applyFont="1" applyAlignment="1">
      <alignment horizontal="right" vertical="center"/>
    </xf>
    <xf numFmtId="3" fontId="3" fillId="5" borderId="0" xfId="0" applyNumberFormat="1" applyFont="1" applyFill="1" applyAlignment="1">
      <alignment horizontal="right" vertical="center" wrapText="1"/>
    </xf>
    <xf numFmtId="3" fontId="3" fillId="5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1" xfId="0" applyFont="1" applyBorder="1"/>
    <xf numFmtId="49" fontId="3" fillId="0" borderId="1" xfId="0" applyNumberFormat="1" applyFont="1" applyBorder="1" applyAlignment="1">
      <alignment wrapText="1"/>
    </xf>
    <xf numFmtId="3" fontId="8" fillId="0" borderId="4" xfId="0" applyNumberFormat="1" applyFont="1" applyBorder="1" applyAlignment="1">
      <alignment horizontal="right"/>
    </xf>
    <xf numFmtId="0" fontId="12" fillId="0" borderId="2" xfId="0" applyFont="1" applyBorder="1" applyAlignment="1">
      <alignment horizontal="justify" wrapText="1"/>
    </xf>
    <xf numFmtId="3" fontId="3" fillId="0" borderId="4" xfId="0" applyNumberFormat="1" applyFont="1" applyBorder="1" applyAlignment="1">
      <alignment horizontal="right"/>
    </xf>
    <xf numFmtId="0" fontId="12" fillId="0" borderId="12" xfId="0" applyFont="1" applyBorder="1" applyAlignment="1">
      <alignment horizontal="left" wrapText="1"/>
    </xf>
    <xf numFmtId="3" fontId="3" fillId="0" borderId="4" xfId="0" applyNumberFormat="1" applyFont="1" applyBorder="1"/>
    <xf numFmtId="3" fontId="18" fillId="0" borderId="0" xfId="7" applyNumberFormat="1" applyFont="1"/>
    <xf numFmtId="3" fontId="23" fillId="0" borderId="8" xfId="7" applyNumberFormat="1" applyFont="1" applyBorder="1" applyAlignment="1">
      <alignment vertical="center" wrapText="1"/>
    </xf>
    <xf numFmtId="3" fontId="8" fillId="4" borderId="1" xfId="7" applyNumberFormat="1" applyFont="1" applyFill="1" applyBorder="1" applyAlignment="1">
      <alignment horizontal="center" vertical="center" wrapText="1"/>
    </xf>
    <xf numFmtId="3" fontId="18" fillId="0" borderId="0" xfId="7" applyNumberFormat="1" applyFont="1" applyAlignment="1" applyProtection="1">
      <alignment wrapText="1"/>
      <protection locked="0"/>
    </xf>
    <xf numFmtId="3" fontId="26" fillId="0" borderId="0" xfId="7" applyNumberFormat="1" applyFont="1" applyAlignment="1" applyProtection="1">
      <alignment wrapText="1"/>
      <protection locked="0"/>
    </xf>
    <xf numFmtId="3" fontId="27" fillId="0" borderId="0" xfId="7" applyNumberFormat="1" applyFont="1" applyAlignment="1" applyProtection="1">
      <alignment wrapText="1"/>
      <protection locked="0"/>
    </xf>
    <xf numFmtId="3" fontId="0" fillId="0" borderId="0" xfId="0" applyNumberFormat="1" applyAlignment="1">
      <alignment vertical="top"/>
    </xf>
    <xf numFmtId="3" fontId="4" fillId="4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justify" vertical="top" wrapText="1"/>
    </xf>
    <xf numFmtId="3" fontId="0" fillId="0" borderId="0" xfId="0" applyNumberFormat="1"/>
    <xf numFmtId="3" fontId="5" fillId="0" borderId="0" xfId="0" applyNumberFormat="1" applyFont="1" applyAlignment="1">
      <alignment vertical="top" wrapText="1"/>
    </xf>
    <xf numFmtId="3" fontId="4" fillId="4" borderId="4" xfId="0" applyNumberFormat="1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wrapText="1" indent="3"/>
    </xf>
    <xf numFmtId="0" fontId="8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right"/>
    </xf>
    <xf numFmtId="14" fontId="3" fillId="0" borderId="0" xfId="0" applyNumberFormat="1" applyFont="1" applyAlignment="1">
      <alignment vertical="center"/>
    </xf>
    <xf numFmtId="14" fontId="8" fillId="0" borderId="1" xfId="0" applyNumberFormat="1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left" wrapText="1"/>
    </xf>
    <xf numFmtId="10" fontId="8" fillId="0" borderId="1" xfId="0" applyNumberFormat="1" applyFont="1" applyBorder="1" applyAlignment="1">
      <alignment horizontal="right" vertical="center" wrapText="1"/>
    </xf>
    <xf numFmtId="10" fontId="8" fillId="0" borderId="1" xfId="0" applyNumberFormat="1" applyFont="1" applyBorder="1" applyAlignment="1">
      <alignment horizontal="right" vertical="center"/>
    </xf>
    <xf numFmtId="49" fontId="31" fillId="0" borderId="1" xfId="0" applyNumberFormat="1" applyFont="1" applyBorder="1" applyAlignment="1">
      <alignment horizontal="left" wrapText="1"/>
    </xf>
    <xf numFmtId="3" fontId="8" fillId="0" borderId="0" xfId="0" applyNumberFormat="1" applyFont="1" applyAlignment="1">
      <alignment horizontal="right"/>
    </xf>
    <xf numFmtId="49" fontId="33" fillId="0" borderId="1" xfId="0" applyNumberFormat="1" applyFont="1" applyBorder="1" applyAlignment="1">
      <alignment wrapText="1"/>
    </xf>
    <xf numFmtId="0" fontId="12" fillId="0" borderId="1" xfId="0" applyFont="1" applyBorder="1" applyAlignment="1">
      <alignment horizontal="justify" wrapText="1"/>
    </xf>
    <xf numFmtId="0" fontId="20" fillId="0" borderId="0" xfId="0" applyFont="1" applyAlignment="1">
      <alignment wrapText="1"/>
    </xf>
    <xf numFmtId="0" fontId="12" fillId="0" borderId="0" xfId="7" applyFont="1" applyAlignment="1">
      <alignment vertical="center"/>
    </xf>
    <xf numFmtId="0" fontId="28" fillId="0" borderId="1" xfId="7" applyFont="1" applyBorder="1" applyAlignment="1">
      <alignment wrapText="1"/>
    </xf>
    <xf numFmtId="0" fontId="12" fillId="0" borderId="0" xfId="7" applyFont="1"/>
    <xf numFmtId="0" fontId="8" fillId="0" borderId="0" xfId="7" applyFont="1"/>
    <xf numFmtId="0" fontId="45" fillId="0" borderId="0" xfId="0" applyFont="1" applyAlignment="1">
      <alignment horizontal="justify"/>
    </xf>
    <xf numFmtId="0" fontId="3" fillId="0" borderId="0" xfId="0" applyFont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3" fillId="3" borderId="0" xfId="0" applyFont="1" applyFill="1"/>
    <xf numFmtId="9" fontId="8" fillId="0" borderId="1" xfId="9" applyFont="1" applyBorder="1" applyAlignment="1">
      <alignment horizontal="right" wrapText="1"/>
    </xf>
    <xf numFmtId="3" fontId="3" fillId="0" borderId="0" xfId="0" applyNumberFormat="1" applyFont="1" applyAlignment="1">
      <alignment horizontal="right" vertical="center" wrapText="1"/>
    </xf>
    <xf numFmtId="3" fontId="8" fillId="0" borderId="5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 wrapText="1"/>
    </xf>
    <xf numFmtId="49" fontId="31" fillId="0" borderId="1" xfId="0" applyNumberFormat="1" applyFont="1" applyBorder="1" applyAlignment="1">
      <alignment horizontal="left" vertical="center" wrapText="1"/>
    </xf>
    <xf numFmtId="3" fontId="3" fillId="0" borderId="2" xfId="0" applyNumberFormat="1" applyFont="1" applyBorder="1" applyAlignment="1">
      <alignment vertical="center"/>
    </xf>
    <xf numFmtId="49" fontId="31" fillId="0" borderId="1" xfId="0" applyNumberFormat="1" applyFont="1" applyBorder="1" applyAlignment="1">
      <alignment vertical="top" wrapText="1"/>
    </xf>
    <xf numFmtId="3" fontId="8" fillId="0" borderId="0" xfId="8" applyNumberFormat="1" applyFont="1" applyAlignment="1" applyProtection="1">
      <alignment vertical="center"/>
      <protection locked="0"/>
    </xf>
    <xf numFmtId="3" fontId="8" fillId="0" borderId="2" xfId="0" applyNumberFormat="1" applyFont="1" applyBorder="1"/>
    <xf numFmtId="49" fontId="3" fillId="0" borderId="1" xfId="0" applyNumberFormat="1" applyFont="1" applyBorder="1" applyAlignment="1">
      <alignment horizontal="left" indent="1"/>
    </xf>
    <xf numFmtId="49" fontId="3" fillId="0" borderId="1" xfId="0" applyNumberFormat="1" applyFont="1" applyBorder="1" applyAlignment="1">
      <alignment vertical="top" wrapText="1"/>
    </xf>
    <xf numFmtId="3" fontId="3" fillId="0" borderId="0" xfId="0" applyNumberFormat="1" applyFont="1"/>
    <xf numFmtId="49" fontId="3" fillId="0" borderId="1" xfId="8" applyNumberFormat="1" applyFont="1" applyBorder="1" applyProtection="1">
      <protection locked="0"/>
    </xf>
    <xf numFmtId="0" fontId="3" fillId="4" borderId="1" xfId="0" applyFont="1" applyFill="1" applyBorder="1" applyAlignment="1">
      <alignment horizontal="center"/>
    </xf>
    <xf numFmtId="49" fontId="3" fillId="0" borderId="1" xfId="7" applyNumberFormat="1" applyFont="1" applyBorder="1" applyAlignment="1">
      <alignment horizontal="left" vertical="center" wrapText="1"/>
    </xf>
    <xf numFmtId="49" fontId="18" fillId="0" borderId="0" xfId="7" applyNumberFormat="1" applyFont="1"/>
    <xf numFmtId="49" fontId="18" fillId="0" borderId="0" xfId="7" applyNumberFormat="1" applyFont="1" applyAlignment="1">
      <alignment wrapText="1"/>
    </xf>
    <xf numFmtId="49" fontId="18" fillId="0" borderId="0" xfId="0" applyNumberFormat="1" applyFont="1" applyAlignment="1">
      <alignment horizontal="left"/>
    </xf>
    <xf numFmtId="49" fontId="3" fillId="0" borderId="1" xfId="7" applyNumberFormat="1" applyFont="1" applyBorder="1" applyAlignment="1">
      <alignment vertical="center" wrapText="1"/>
    </xf>
    <xf numFmtId="3" fontId="3" fillId="3" borderId="2" xfId="0" applyNumberFormat="1" applyFont="1" applyFill="1" applyBorder="1" applyAlignment="1">
      <alignment vertical="center"/>
    </xf>
    <xf numFmtId="49" fontId="5" fillId="3" borderId="1" xfId="0" quotePrefix="1" applyNumberFormat="1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49" fontId="5" fillId="3" borderId="1" xfId="0" applyNumberFormat="1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3" fontId="3" fillId="3" borderId="0" xfId="0" applyNumberFormat="1" applyFont="1" applyFill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8" fillId="3" borderId="1" xfId="0" applyFont="1" applyFill="1" applyBorder="1" applyAlignment="1">
      <alignment vertical="top" wrapText="1"/>
    </xf>
    <xf numFmtId="3" fontId="8" fillId="3" borderId="1" xfId="0" applyNumberFormat="1" applyFont="1" applyFill="1" applyBorder="1"/>
    <xf numFmtId="0" fontId="39" fillId="7" borderId="14" xfId="0" applyFont="1" applyFill="1" applyBorder="1" applyAlignment="1">
      <alignment horizontal="center" vertical="center" wrapText="1"/>
    </xf>
    <xf numFmtId="0" fontId="39" fillId="8" borderId="14" xfId="0" applyFont="1" applyFill="1" applyBorder="1" applyAlignment="1">
      <alignment horizontal="center" vertical="center"/>
    </xf>
    <xf numFmtId="0" fontId="39" fillId="7" borderId="0" xfId="0" applyFont="1" applyFill="1" applyAlignment="1" applyProtection="1">
      <alignment horizontal="center"/>
      <protection locked="0"/>
    </xf>
    <xf numFmtId="0" fontId="40" fillId="8" borderId="0" xfId="0" applyFont="1" applyFill="1" applyAlignment="1">
      <alignment horizontal="center"/>
    </xf>
    <xf numFmtId="0" fontId="42" fillId="7" borderId="0" xfId="0" applyFont="1" applyFill="1" applyAlignment="1" applyProtection="1">
      <alignment horizontal="center"/>
      <protection locked="0"/>
    </xf>
    <xf numFmtId="0" fontId="40" fillId="7" borderId="0" xfId="0" applyFont="1" applyFill="1" applyAlignment="1">
      <alignment horizontal="center"/>
    </xf>
    <xf numFmtId="0" fontId="42" fillId="8" borderId="0" xfId="0" applyFont="1" applyFill="1" applyAlignment="1" applyProtection="1">
      <alignment horizontal="center"/>
      <protection locked="0"/>
    </xf>
    <xf numFmtId="0" fontId="3" fillId="0" borderId="0" xfId="0" applyFont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3" fillId="0" borderId="1" xfId="0" quotePrefix="1" applyFont="1" applyBorder="1" applyAlignment="1">
      <alignment wrapText="1"/>
    </xf>
    <xf numFmtId="0" fontId="45" fillId="0" borderId="0" xfId="0" applyFont="1"/>
    <xf numFmtId="0" fontId="28" fillId="0" borderId="1" xfId="0" applyFont="1" applyBorder="1" applyAlignment="1">
      <alignment horizontal="left" vertical="center" wrapText="1"/>
    </xf>
    <xf numFmtId="0" fontId="3" fillId="0" borderId="0" xfId="2" quotePrefix="1" applyFont="1" applyProtection="1">
      <alignment vertical="top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0" xfId="0" quotePrefix="1" applyFont="1"/>
    <xf numFmtId="167" fontId="3" fillId="0" borderId="0" xfId="0" applyNumberFormat="1" applyFont="1"/>
    <xf numFmtId="0" fontId="48" fillId="0" borderId="0" xfId="7" applyFont="1" applyAlignment="1">
      <alignment vertical="center"/>
    </xf>
    <xf numFmtId="49" fontId="12" fillId="0" borderId="6" xfId="7" applyNumberFormat="1" applyFont="1" applyBorder="1" applyAlignment="1">
      <alignment vertical="center" wrapText="1"/>
    </xf>
    <xf numFmtId="0" fontId="11" fillId="0" borderId="0" xfId="7" applyFont="1" applyAlignment="1">
      <alignment vertical="center"/>
    </xf>
    <xf numFmtId="3" fontId="3" fillId="0" borderId="1" xfId="7" applyNumberFormat="1" applyFont="1" applyBorder="1" applyAlignment="1" applyProtection="1">
      <alignment horizontal="right" vertical="center" wrapText="1"/>
      <protection locked="0"/>
    </xf>
    <xf numFmtId="0" fontId="45" fillId="0" borderId="0" xfId="7" applyFont="1" applyAlignment="1">
      <alignment vertical="center"/>
    </xf>
    <xf numFmtId="3" fontId="12" fillId="0" borderId="1" xfId="7" applyNumberFormat="1" applyFont="1" applyBorder="1" applyAlignment="1" applyProtection="1">
      <alignment wrapText="1"/>
      <protection locked="0"/>
    </xf>
    <xf numFmtId="3" fontId="28" fillId="0" borderId="1" xfId="7" applyNumberFormat="1" applyFont="1" applyBorder="1" applyAlignment="1" applyProtection="1">
      <alignment wrapText="1"/>
      <protection locked="0"/>
    </xf>
    <xf numFmtId="3" fontId="8" fillId="0" borderId="1" xfId="7" applyNumberFormat="1" applyFont="1" applyBorder="1" applyAlignment="1" applyProtection="1">
      <alignment wrapText="1"/>
      <protection locked="0"/>
    </xf>
    <xf numFmtId="0" fontId="3" fillId="0" borderId="1" xfId="5" applyFont="1" applyBorder="1"/>
    <xf numFmtId="3" fontId="3" fillId="0" borderId="1" xfId="0" applyNumberFormat="1" applyFont="1" applyBorder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8" fillId="0" borderId="5" xfId="0" applyFont="1" applyBorder="1" applyAlignment="1">
      <alignment vertical="center" wrapText="1"/>
    </xf>
    <xf numFmtId="3" fontId="3" fillId="0" borderId="1" xfId="7" applyNumberFormat="1" applyFont="1" applyBorder="1" applyAlignment="1">
      <alignment horizontal="left" vertical="center" wrapText="1" indent="1"/>
    </xf>
    <xf numFmtId="3" fontId="3" fillId="0" borderId="1" xfId="7" applyNumberFormat="1" applyFont="1" applyBorder="1" applyAlignment="1" applyProtection="1">
      <alignment vertical="center" wrapText="1"/>
      <protection locked="0"/>
    </xf>
    <xf numFmtId="3" fontId="3" fillId="0" borderId="1" xfId="7" applyNumberFormat="1" applyFont="1" applyBorder="1" applyAlignment="1">
      <alignment vertical="center" wrapText="1"/>
    </xf>
    <xf numFmtId="3" fontId="3" fillId="5" borderId="0" xfId="0" applyNumberFormat="1" applyFont="1" applyFill="1" applyAlignment="1">
      <alignment vertical="top" wrapText="1"/>
    </xf>
    <xf numFmtId="3" fontId="5" fillId="0" borderId="4" xfId="0" applyNumberFormat="1" applyFont="1" applyBorder="1" applyAlignment="1">
      <alignment horizontal="right" vertical="center" wrapText="1"/>
    </xf>
    <xf numFmtId="3" fontId="11" fillId="0" borderId="4" xfId="0" applyNumberFormat="1" applyFont="1" applyBorder="1" applyAlignment="1">
      <alignment horizontal="right" vertical="center" wrapText="1"/>
    </xf>
    <xf numFmtId="164" fontId="8" fillId="4" borderId="1" xfId="8" applyNumberFormat="1" applyFont="1" applyFill="1" applyBorder="1" applyAlignment="1" applyProtection="1">
      <alignment horizontal="center" vertical="center" wrapText="1"/>
      <protection locked="0"/>
    </xf>
    <xf numFmtId="165" fontId="3" fillId="0" borderId="0" xfId="0" applyNumberFormat="1" applyFont="1"/>
    <xf numFmtId="4" fontId="3" fillId="0" borderId="1" xfId="0" applyNumberFormat="1" applyFont="1" applyBorder="1"/>
    <xf numFmtId="49" fontId="3" fillId="0" borderId="1" xfId="8" applyNumberFormat="1" applyFont="1" applyBorder="1" applyAlignment="1" applyProtection="1">
      <alignment wrapText="1"/>
      <protection locked="0"/>
    </xf>
    <xf numFmtId="0" fontId="8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justify" wrapText="1"/>
    </xf>
    <xf numFmtId="3" fontId="5" fillId="0" borderId="4" xfId="0" applyNumberFormat="1" applyFont="1" applyBorder="1" applyAlignment="1">
      <alignment horizontal="right"/>
    </xf>
    <xf numFmtId="0" fontId="2" fillId="0" borderId="0" xfId="0" applyFont="1"/>
    <xf numFmtId="0" fontId="57" fillId="0" borderId="0" xfId="2" quotePrefix="1" applyFont="1" applyProtection="1">
      <alignment vertical="top"/>
    </xf>
    <xf numFmtId="0" fontId="2" fillId="0" borderId="0" xfId="0" applyFont="1" applyAlignment="1">
      <alignment vertical="center"/>
    </xf>
    <xf numFmtId="4" fontId="3" fillId="0" borderId="1" xfId="7" applyNumberFormat="1" applyFont="1" applyBorder="1" applyAlignment="1">
      <alignment horizontal="right" vertical="center" wrapText="1"/>
    </xf>
    <xf numFmtId="4" fontId="8" fillId="0" borderId="1" xfId="7" applyNumberFormat="1" applyFont="1" applyBorder="1" applyAlignment="1" applyProtection="1">
      <alignment horizontal="right" wrapText="1"/>
      <protection locked="0"/>
    </xf>
    <xf numFmtId="0" fontId="8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3" fontId="8" fillId="0" borderId="1" xfId="7" applyNumberFormat="1" applyFont="1" applyBorder="1" applyAlignment="1">
      <alignment vertical="center"/>
    </xf>
    <xf numFmtId="9" fontId="8" fillId="0" borderId="1" xfId="9" applyFont="1" applyBorder="1" applyAlignment="1">
      <alignment horizontal="right" vertical="center" wrapText="1"/>
    </xf>
    <xf numFmtId="0" fontId="8" fillId="0" borderId="11" xfId="0" applyFont="1" applyBorder="1" applyAlignment="1">
      <alignment vertical="center" wrapText="1"/>
    </xf>
    <xf numFmtId="3" fontId="4" fillId="0" borderId="0" xfId="0" applyNumberFormat="1" applyFont="1" applyAlignment="1">
      <alignment horizontal="center" vertical="center" wrapText="1"/>
    </xf>
    <xf numFmtId="10" fontId="30" fillId="0" borderId="1" xfId="9" applyNumberFormat="1" applyFont="1" applyBorder="1"/>
    <xf numFmtId="0" fontId="4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10" xfId="0" applyFont="1" applyBorder="1" applyAlignment="1">
      <alignment wrapText="1"/>
    </xf>
    <xf numFmtId="14" fontId="42" fillId="7" borderId="0" xfId="0" applyNumberFormat="1" applyFont="1" applyFill="1" applyAlignment="1" applyProtection="1">
      <alignment horizontal="center"/>
      <protection locked="0"/>
    </xf>
    <xf numFmtId="14" fontId="8" fillId="4" borderId="1" xfId="7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35" fillId="4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/>
    <xf numFmtId="14" fontId="8" fillId="0" borderId="1" xfId="0" applyNumberFormat="1" applyFont="1" applyBorder="1" applyAlignment="1">
      <alignment vertical="center" wrapText="1"/>
    </xf>
    <xf numFmtId="14" fontId="8" fillId="4" borderId="1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vertical="center" wrapText="1"/>
    </xf>
    <xf numFmtId="49" fontId="12" fillId="3" borderId="8" xfId="0" applyNumberFormat="1" applyFont="1" applyFill="1" applyBorder="1" applyAlignment="1">
      <alignment vertical="center" wrapText="1"/>
    </xf>
    <xf numFmtId="49" fontId="12" fillId="0" borderId="6" xfId="0" applyNumberFormat="1" applyFont="1" applyBorder="1" applyAlignment="1">
      <alignment vertical="center" wrapText="1"/>
    </xf>
    <xf numFmtId="49" fontId="12" fillId="0" borderId="10" xfId="0" applyNumberFormat="1" applyFont="1" applyBorder="1" applyAlignment="1">
      <alignment vertical="center" wrapText="1"/>
    </xf>
    <xf numFmtId="14" fontId="8" fillId="0" borderId="1" xfId="0" applyNumberFormat="1" applyFont="1" applyBorder="1" applyAlignment="1">
      <alignment horizontal="left" wrapText="1"/>
    </xf>
    <xf numFmtId="14" fontId="31" fillId="0" borderId="0" xfId="0" applyNumberFormat="1" applyFont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 wrapText="1"/>
    </xf>
    <xf numFmtId="3" fontId="4" fillId="0" borderId="2" xfId="12" applyNumberFormat="1" applyFont="1" applyBorder="1" applyAlignment="1">
      <alignment vertical="center" wrapText="1"/>
    </xf>
    <xf numFmtId="3" fontId="3" fillId="0" borderId="1" xfId="12" applyNumberFormat="1" applyFont="1" applyBorder="1" applyAlignment="1">
      <alignment horizontal="right" vertical="center" wrapText="1"/>
    </xf>
    <xf numFmtId="3" fontId="5" fillId="0" borderId="1" xfId="12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vertical="center" wrapText="1"/>
    </xf>
    <xf numFmtId="0" fontId="3" fillId="0" borderId="12" xfId="0" applyFont="1" applyBorder="1"/>
    <xf numFmtId="49" fontId="8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1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vertical="top" wrapText="1"/>
    </xf>
    <xf numFmtId="3" fontId="5" fillId="11" borderId="0" xfId="0" applyNumberFormat="1" applyFont="1" applyFill="1" applyAlignment="1">
      <alignment horizontal="right" vertical="top" wrapText="1"/>
    </xf>
    <xf numFmtId="0" fontId="3" fillId="0" borderId="0" xfId="0" applyFont="1" applyAlignment="1">
      <alignment horizontal="center" vertical="center"/>
    </xf>
    <xf numFmtId="14" fontId="4" fillId="4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/>
    </xf>
    <xf numFmtId="49" fontId="12" fillId="3" borderId="0" xfId="0" applyNumberFormat="1" applyFont="1" applyFill="1" applyAlignment="1">
      <alignment vertical="center" wrapText="1"/>
    </xf>
    <xf numFmtId="3" fontId="8" fillId="3" borderId="0" xfId="0" applyNumberFormat="1" applyFont="1" applyFill="1" applyAlignment="1">
      <alignment vertical="center"/>
    </xf>
    <xf numFmtId="3" fontId="12" fillId="3" borderId="0" xfId="0" applyNumberFormat="1" applyFont="1" applyFill="1" applyAlignment="1">
      <alignment vertical="center"/>
    </xf>
    <xf numFmtId="3" fontId="3" fillId="3" borderId="0" xfId="0" applyNumberFormat="1" applyFont="1" applyFill="1" applyAlignment="1">
      <alignment vertical="center"/>
    </xf>
    <xf numFmtId="0" fontId="12" fillId="0" borderId="6" xfId="0" applyFont="1" applyBorder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0" xfId="0" applyFont="1" applyAlignment="1">
      <alignment wrapText="1"/>
    </xf>
    <xf numFmtId="3" fontId="3" fillId="0" borderId="1" xfId="8" applyNumberFormat="1" applyFont="1" applyBorder="1" applyAlignment="1" applyProtection="1">
      <alignment vertical="center"/>
      <protection locked="0"/>
    </xf>
    <xf numFmtId="3" fontId="3" fillId="0" borderId="0" xfId="8" applyNumberFormat="1" applyFont="1" applyAlignment="1" applyProtection="1">
      <alignment vertical="center"/>
      <protection locked="0"/>
    </xf>
    <xf numFmtId="10" fontId="3" fillId="0" borderId="1" xfId="9" applyNumberFormat="1" applyFont="1" applyBorder="1" applyProtection="1">
      <protection locked="0"/>
    </xf>
    <xf numFmtId="10" fontId="8" fillId="0" borderId="1" xfId="9" applyNumberFormat="1" applyFont="1" applyBorder="1"/>
    <xf numFmtId="0" fontId="8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9" fontId="8" fillId="0" borderId="0" xfId="9" applyFont="1" applyAlignment="1">
      <alignment horizontal="right" vertical="center" wrapText="1"/>
    </xf>
    <xf numFmtId="3" fontId="3" fillId="0" borderId="1" xfId="7" applyNumberFormat="1" applyFont="1" applyBorder="1" applyAlignment="1" applyProtection="1">
      <alignment horizontal="right" vertical="center"/>
      <protection locked="0"/>
    </xf>
    <xf numFmtId="0" fontId="56" fillId="0" borderId="0" xfId="0" applyFont="1"/>
    <xf numFmtId="10" fontId="3" fillId="0" borderId="1" xfId="8" applyNumberFormat="1" applyFont="1" applyBorder="1" applyProtection="1">
      <protection locked="0"/>
    </xf>
    <xf numFmtId="3" fontId="3" fillId="6" borderId="4" xfId="0" applyNumberFormat="1" applyFont="1" applyFill="1" applyBorder="1"/>
    <xf numFmtId="3" fontId="5" fillId="0" borderId="1" xfId="12" applyNumberFormat="1" applyFont="1" applyBorder="1" applyAlignment="1">
      <alignment horizontal="right" wrapText="1"/>
    </xf>
    <xf numFmtId="3" fontId="5" fillId="0" borderId="1" xfId="14" applyNumberFormat="1" applyFont="1" applyBorder="1" applyAlignment="1">
      <alignment horizontal="right" wrapText="1"/>
    </xf>
    <xf numFmtId="3" fontId="3" fillId="0" borderId="0" xfId="0" applyNumberFormat="1" applyFont="1" applyAlignment="1">
      <alignment vertical="center" wrapText="1"/>
    </xf>
    <xf numFmtId="0" fontId="8" fillId="0" borderId="1" xfId="0" applyFont="1" applyBorder="1" applyAlignment="1">
      <alignment horizontal="justify"/>
    </xf>
    <xf numFmtId="3" fontId="4" fillId="0" borderId="0" xfId="0" applyNumberFormat="1" applyFont="1" applyAlignment="1">
      <alignment horizontal="left" wrapText="1" indent="3"/>
    </xf>
    <xf numFmtId="0" fontId="46" fillId="0" borderId="0" xfId="0" applyFont="1"/>
    <xf numFmtId="0" fontId="12" fillId="4" borderId="1" xfId="0" applyFont="1" applyFill="1" applyBorder="1" applyAlignment="1">
      <alignment horizontal="center" vertical="center" wrapText="1"/>
    </xf>
    <xf numFmtId="3" fontId="8" fillId="0" borderId="1" xfId="22" applyNumberFormat="1" applyFont="1" applyBorder="1" applyAlignment="1">
      <alignment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3" fontId="8" fillId="0" borderId="15" xfId="22" applyNumberFormat="1" applyFont="1" applyBorder="1" applyAlignment="1">
      <alignment wrapText="1"/>
    </xf>
    <xf numFmtId="3" fontId="3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/>
    <xf numFmtId="3" fontId="8" fillId="0" borderId="3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/>
    </xf>
    <xf numFmtId="3" fontId="3" fillId="0" borderId="15" xfId="0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/>
    </xf>
    <xf numFmtId="3" fontId="8" fillId="0" borderId="1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10" fontId="8" fillId="0" borderId="1" xfId="9" applyNumberFormat="1" applyFont="1" applyBorder="1" applyAlignment="1">
      <alignment horizontal="right"/>
    </xf>
    <xf numFmtId="3" fontId="8" fillId="0" borderId="0" xfId="0" applyNumberFormat="1" applyFont="1"/>
    <xf numFmtId="0" fontId="4" fillId="4" borderId="2" xfId="0" applyFont="1" applyFill="1" applyBorder="1" applyAlignment="1">
      <alignment horizontal="center" vertical="center" wrapText="1"/>
    </xf>
    <xf numFmtId="164" fontId="8" fillId="4" borderId="4" xfId="8" applyNumberFormat="1" applyFont="1" applyFill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right" vertical="center" wrapText="1"/>
    </xf>
    <xf numFmtId="0" fontId="55" fillId="0" borderId="1" xfId="14" applyFont="1" applyBorder="1" applyAlignment="1">
      <alignment wrapText="1"/>
    </xf>
    <xf numFmtId="0" fontId="3" fillId="0" borderId="1" xfId="14" applyFont="1" applyBorder="1" applyAlignment="1">
      <alignment horizontal="right"/>
    </xf>
    <xf numFmtId="0" fontId="28" fillId="4" borderId="1" xfId="0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 vertical="center" wrapText="1"/>
    </xf>
    <xf numFmtId="0" fontId="8" fillId="0" borderId="1" xfId="5" applyFont="1" applyBorder="1" applyAlignment="1">
      <alignment wrapText="1"/>
    </xf>
    <xf numFmtId="14" fontId="8" fillId="0" borderId="1" xfId="5" applyNumberFormat="1" applyFont="1" applyBorder="1" applyAlignment="1">
      <alignment horizontal="center" wrapText="1"/>
    </xf>
    <xf numFmtId="3" fontId="8" fillId="0" borderId="1" xfId="5" applyNumberFormat="1" applyFont="1" applyBorder="1" applyAlignment="1">
      <alignment horizontal="right" vertical="center" wrapText="1"/>
    </xf>
    <xf numFmtId="0" fontId="8" fillId="3" borderId="1" xfId="5" applyFont="1" applyFill="1" applyBorder="1" applyAlignment="1">
      <alignment wrapText="1"/>
    </xf>
    <xf numFmtId="3" fontId="3" fillId="0" borderId="1" xfId="5" applyNumberFormat="1" applyFont="1" applyBorder="1" applyAlignment="1">
      <alignment horizontal="right" vertical="center" wrapText="1"/>
    </xf>
    <xf numFmtId="0" fontId="3" fillId="0" borderId="1" xfId="5" applyFont="1" applyBorder="1" applyAlignment="1">
      <alignment vertical="center"/>
    </xf>
    <xf numFmtId="0" fontId="3" fillId="3" borderId="1" xfId="5" applyFont="1" applyFill="1" applyBorder="1" applyAlignment="1">
      <alignment wrapText="1"/>
    </xf>
    <xf numFmtId="14" fontId="3" fillId="0" borderId="1" xfId="0" applyNumberFormat="1" applyFont="1" applyBorder="1" applyAlignment="1">
      <alignment vertical="center" wrapText="1"/>
    </xf>
    <xf numFmtId="0" fontId="8" fillId="0" borderId="11" xfId="0" applyFont="1" applyBorder="1" applyAlignment="1">
      <alignment wrapText="1"/>
    </xf>
    <xf numFmtId="3" fontId="35" fillId="0" borderId="11" xfId="0" applyNumberFormat="1" applyFont="1" applyBorder="1"/>
    <xf numFmtId="3" fontId="55" fillId="0" borderId="1" xfId="0" applyNumberFormat="1" applyFont="1" applyBorder="1" applyAlignment="1">
      <alignment wrapText="1"/>
    </xf>
    <xf numFmtId="3" fontId="53" fillId="0" borderId="1" xfId="0" applyNumberFormat="1" applyFont="1" applyBorder="1" applyAlignment="1">
      <alignment wrapText="1"/>
    </xf>
    <xf numFmtId="0" fontId="8" fillId="12" borderId="1" xfId="0" applyFont="1" applyFill="1" applyBorder="1" applyAlignment="1">
      <alignment horizontal="left" vertical="center" wrapText="1"/>
    </xf>
    <xf numFmtId="3" fontId="8" fillId="12" borderId="1" xfId="0" applyNumberFormat="1" applyFont="1" applyFill="1" applyBorder="1" applyAlignment="1">
      <alignment vertical="center"/>
    </xf>
    <xf numFmtId="0" fontId="3" fillId="12" borderId="1" xfId="0" applyFont="1" applyFill="1" applyBorder="1" applyAlignment="1">
      <alignment horizontal="left" vertical="center" wrapText="1"/>
    </xf>
    <xf numFmtId="3" fontId="3" fillId="12" borderId="1" xfId="0" applyNumberFormat="1" applyFont="1" applyFill="1" applyBorder="1" applyAlignment="1">
      <alignment vertical="center"/>
    </xf>
    <xf numFmtId="0" fontId="12" fillId="12" borderId="1" xfId="0" applyFont="1" applyFill="1" applyBorder="1" applyAlignment="1">
      <alignment horizontal="left" vertical="center" wrapText="1"/>
    </xf>
    <xf numFmtId="3" fontId="12" fillId="12" borderId="1" xfId="0" applyNumberFormat="1" applyFont="1" applyFill="1" applyBorder="1" applyAlignment="1">
      <alignment vertical="center"/>
    </xf>
    <xf numFmtId="49" fontId="3" fillId="12" borderId="1" xfId="0" applyNumberFormat="1" applyFont="1" applyFill="1" applyBorder="1" applyAlignment="1">
      <alignment horizontal="left" vertical="center" wrapText="1"/>
    </xf>
    <xf numFmtId="3" fontId="3" fillId="12" borderId="2" xfId="0" applyNumberFormat="1" applyFont="1" applyFill="1" applyBorder="1" applyAlignment="1">
      <alignment vertical="center"/>
    </xf>
    <xf numFmtId="0" fontId="8" fillId="12" borderId="2" xfId="0" applyFont="1" applyFill="1" applyBorder="1" applyAlignment="1">
      <alignment horizontal="left" vertical="center" wrapText="1"/>
    </xf>
    <xf numFmtId="3" fontId="8" fillId="12" borderId="2" xfId="0" applyNumberFormat="1" applyFont="1" applyFill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4" fillId="0" borderId="0" xfId="0" applyFont="1" applyAlignment="1">
      <alignment horizontal="justify"/>
    </xf>
    <xf numFmtId="3" fontId="3" fillId="13" borderId="0" xfId="0" applyNumberFormat="1" applyFont="1" applyFill="1"/>
    <xf numFmtId="49" fontId="3" fillId="3" borderId="2" xfId="0" applyNumberFormat="1" applyFont="1" applyFill="1" applyBorder="1" applyAlignment="1">
      <alignment horizontal="left" vertical="center" wrapText="1"/>
    </xf>
    <xf numFmtId="3" fontId="53" fillId="0" borderId="1" xfId="0" applyNumberFormat="1" applyFont="1" applyBorder="1" applyAlignment="1">
      <alignment horizontal="right"/>
    </xf>
    <xf numFmtId="0" fontId="53" fillId="0" borderId="1" xfId="0" applyFont="1" applyBorder="1" applyAlignment="1">
      <alignment vertical="top" wrapText="1"/>
    </xf>
    <xf numFmtId="0" fontId="8" fillId="11" borderId="0" xfId="0" applyFont="1" applyFill="1"/>
    <xf numFmtId="3" fontId="8" fillId="11" borderId="0" xfId="0" applyNumberFormat="1" applyFont="1" applyFill="1"/>
    <xf numFmtId="0" fontId="3" fillId="0" borderId="1" xfId="0" applyFont="1" applyBorder="1" applyAlignment="1">
      <alignment horizontal="left" wrapText="1"/>
    </xf>
    <xf numFmtId="0" fontId="3" fillId="0" borderId="6" xfId="14" applyFont="1" applyBorder="1" applyAlignment="1">
      <alignment vertical="top" wrapText="1"/>
    </xf>
    <xf numFmtId="0" fontId="3" fillId="0" borderId="4" xfId="14" applyFont="1" applyBorder="1" applyAlignment="1">
      <alignment vertical="top" wrapText="1"/>
    </xf>
    <xf numFmtId="0" fontId="3" fillId="0" borderId="6" xfId="12" applyFont="1" applyBorder="1" applyAlignment="1">
      <alignment vertical="top" wrapText="1"/>
    </xf>
    <xf numFmtId="0" fontId="3" fillId="0" borderId="4" xfId="12" applyFont="1" applyBorder="1" applyAlignment="1">
      <alignment vertical="top" wrapText="1"/>
    </xf>
    <xf numFmtId="0" fontId="3" fillId="0" borderId="0" xfId="0" applyFont="1"/>
    <xf numFmtId="0" fontId="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indent="1"/>
    </xf>
    <xf numFmtId="3" fontId="3" fillId="0" borderId="1" xfId="8" applyNumberFormat="1" applyFont="1" applyFill="1" applyBorder="1" applyAlignment="1" applyProtection="1">
      <protection locked="0"/>
    </xf>
    <xf numFmtId="10" fontId="3" fillId="0" borderId="1" xfId="8" applyNumberFormat="1" applyFont="1" applyFill="1" applyBorder="1" applyAlignment="1" applyProtection="1">
      <protection locked="0"/>
    </xf>
    <xf numFmtId="3" fontId="3" fillId="0" borderId="1" xfId="1" applyNumberFormat="1" applyFont="1" applyBorder="1" applyAlignment="1">
      <alignment horizontal="right" wrapText="1"/>
    </xf>
    <xf numFmtId="3" fontId="3" fillId="0" borderId="1" xfId="8" applyNumberFormat="1" applyFont="1" applyBorder="1" applyAlignment="1" applyProtection="1">
      <alignment wrapText="1"/>
      <protection locked="0"/>
    </xf>
    <xf numFmtId="3" fontId="3" fillId="0" borderId="1" xfId="5" applyNumberFormat="1" applyFont="1" applyBorder="1" applyAlignment="1">
      <alignment horizontal="righ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>
      <alignment horizontal="left" wrapText="1"/>
    </xf>
    <xf numFmtId="0" fontId="34" fillId="0" borderId="0" xfId="2" quotePrefix="1" applyFont="1" applyProtection="1">
      <alignment vertical="top"/>
    </xf>
    <xf numFmtId="0" fontId="3" fillId="0" borderId="0" xfId="0" applyFont="1"/>
    <xf numFmtId="0" fontId="8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3" fontId="59" fillId="0" borderId="1" xfId="0" applyNumberFormat="1" applyFont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3" fontId="8" fillId="0" borderId="1" xfId="0" applyNumberFormat="1" applyFont="1" applyFill="1" applyBorder="1" applyAlignment="1">
      <alignment horizontal="right" wrapText="1"/>
    </xf>
    <xf numFmtId="9" fontId="8" fillId="0" borderId="1" xfId="9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61" fillId="0" borderId="3" xfId="0" applyFont="1" applyBorder="1"/>
    <xf numFmtId="3" fontId="8" fillId="0" borderId="2" xfId="0" applyNumberFormat="1" applyFont="1" applyBorder="1" applyAlignment="1">
      <alignment vertical="center"/>
    </xf>
    <xf numFmtId="0" fontId="61" fillId="0" borderId="3" xfId="0" applyFont="1" applyBorder="1" applyAlignment="1">
      <alignment wrapText="1"/>
    </xf>
    <xf numFmtId="0" fontId="62" fillId="0" borderId="3" xfId="0" applyFont="1" applyBorder="1"/>
    <xf numFmtId="3" fontId="11" fillId="0" borderId="0" xfId="0" applyNumberFormat="1" applyFont="1"/>
    <xf numFmtId="3" fontId="8" fillId="0" borderId="11" xfId="0" applyNumberFormat="1" applyFont="1" applyBorder="1" applyAlignment="1">
      <alignment vertical="center"/>
    </xf>
    <xf numFmtId="0" fontId="3" fillId="0" borderId="0" xfId="0" applyFont="1" applyAlignment="1">
      <alignment horizontal="right"/>
    </xf>
    <xf numFmtId="3" fontId="3" fillId="0" borderId="1" xfId="7" applyNumberFormat="1" applyFont="1" applyFill="1" applyBorder="1" applyAlignment="1">
      <alignment horizontal="left" vertical="center" wrapText="1" indent="1"/>
    </xf>
    <xf numFmtId="0" fontId="8" fillId="14" borderId="1" xfId="0" applyFont="1" applyFill="1" applyBorder="1" applyAlignment="1">
      <alignment horizontal="center" vertical="center" wrapText="1"/>
    </xf>
    <xf numFmtId="14" fontId="4" fillId="14" borderId="1" xfId="0" applyNumberFormat="1" applyFont="1" applyFill="1" applyBorder="1" applyAlignment="1">
      <alignment horizontal="center" vertical="center" wrapText="1"/>
    </xf>
    <xf numFmtId="3" fontId="4" fillId="14" borderId="1" xfId="0" applyNumberFormat="1" applyFont="1" applyFill="1" applyBorder="1" applyAlignment="1">
      <alignment horizontal="center" vertical="center" wrapText="1"/>
    </xf>
    <xf numFmtId="3" fontId="3" fillId="0" borderId="1" xfId="57" applyNumberFormat="1" applyFont="1" applyBorder="1" applyAlignment="1">
      <alignment horizontal="right" vertical="center"/>
    </xf>
    <xf numFmtId="0" fontId="0" fillId="0" borderId="0" xfId="0"/>
    <xf numFmtId="3" fontId="3" fillId="0" borderId="1" xfId="57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wrapText="1"/>
    </xf>
    <xf numFmtId="3" fontId="59" fillId="0" borderId="1" xfId="0" applyNumberFormat="1" applyFont="1" applyFill="1" applyBorder="1" applyAlignment="1">
      <alignment horizontal="right" wrapText="1"/>
    </xf>
    <xf numFmtId="3" fontId="3" fillId="0" borderId="3" xfId="57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3" fontId="8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4" borderId="1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center" vertical="center" wrapText="1"/>
    </xf>
    <xf numFmtId="3" fontId="3" fillId="6" borderId="1" xfId="0" applyNumberFormat="1" applyFont="1" applyFill="1" applyBorder="1" applyAlignment="1">
      <alignment horizontal="right" wrapText="1"/>
    </xf>
    <xf numFmtId="3" fontId="8" fillId="6" borderId="1" xfId="0" applyNumberFormat="1" applyFont="1" applyFill="1" applyBorder="1" applyAlignment="1">
      <alignment horizontal="right" wrapText="1"/>
    </xf>
    <xf numFmtId="9" fontId="8" fillId="0" borderId="1" xfId="9" applyFont="1" applyBorder="1" applyAlignment="1">
      <alignment horizontal="right" vertical="center" wrapText="1"/>
    </xf>
    <xf numFmtId="0" fontId="8" fillId="6" borderId="0" xfId="0" applyFont="1" applyFill="1"/>
    <xf numFmtId="0" fontId="34" fillId="0" borderId="0" xfId="2" quotePrefix="1" applyFont="1" applyProtection="1">
      <alignment vertical="top"/>
    </xf>
    <xf numFmtId="0" fontId="3" fillId="0" borderId="0" xfId="0" applyFont="1"/>
    <xf numFmtId="0" fontId="8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7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justify" wrapText="1"/>
    </xf>
    <xf numFmtId="49" fontId="3" fillId="0" borderId="6" xfId="7" applyNumberFormat="1" applyFont="1" applyBorder="1" applyAlignment="1">
      <alignment horizontal="left" vertical="center" wrapText="1"/>
    </xf>
    <xf numFmtId="49" fontId="3" fillId="0" borderId="4" xfId="7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3" fillId="0" borderId="3" xfId="0" applyFont="1" applyBorder="1" applyAlignment="1">
      <alignment horizontal="justify" wrapText="1"/>
    </xf>
    <xf numFmtId="0" fontId="6" fillId="0" borderId="0" xfId="0" applyFont="1" applyAlignment="1">
      <alignment horizontal="center" vertical="top" wrapText="1"/>
    </xf>
    <xf numFmtId="0" fontId="17" fillId="0" borderId="0" xfId="0" applyFont="1" applyAlignment="1">
      <alignment horizontal="justify" wrapText="1"/>
    </xf>
    <xf numFmtId="0" fontId="3" fillId="0" borderId="0" xfId="0" applyFont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14" fontId="8" fillId="4" borderId="1" xfId="8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justify"/>
    </xf>
    <xf numFmtId="0" fontId="29" fillId="0" borderId="6" xfId="0" applyFont="1" applyBorder="1" applyAlignment="1">
      <alignment horizontal="center" wrapText="1"/>
    </xf>
    <xf numFmtId="0" fontId="29" fillId="0" borderId="10" xfId="0" applyFont="1" applyBorder="1" applyAlignment="1">
      <alignment horizontal="center" wrapText="1"/>
    </xf>
    <xf numFmtId="0" fontId="8" fillId="4" borderId="6" xfId="5" applyFont="1" applyFill="1" applyBorder="1" applyAlignment="1">
      <alignment horizontal="center" vertical="center" wrapText="1"/>
    </xf>
    <xf numFmtId="0" fontId="8" fillId="4" borderId="4" xfId="5" applyFont="1" applyFill="1" applyBorder="1" applyAlignment="1">
      <alignment horizontal="center" vertical="center" wrapText="1"/>
    </xf>
    <xf numFmtId="0" fontId="8" fillId="4" borderId="10" xfId="5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3" fillId="0" borderId="6" xfId="14" applyFont="1" applyBorder="1" applyAlignment="1">
      <alignment wrapText="1"/>
    </xf>
    <xf numFmtId="0" fontId="3" fillId="0" borderId="4" xfId="14" applyFont="1" applyBorder="1" applyAlignment="1">
      <alignment wrapText="1"/>
    </xf>
    <xf numFmtId="0" fontId="3" fillId="0" borderId="6" xfId="14" applyFont="1" applyBorder="1" applyAlignment="1">
      <alignment horizontal="left" wrapText="1"/>
    </xf>
    <xf numFmtId="0" fontId="3" fillId="0" borderId="4" xfId="14" applyFont="1" applyBorder="1" applyAlignment="1">
      <alignment horizontal="left" wrapText="1"/>
    </xf>
    <xf numFmtId="0" fontId="3" fillId="0" borderId="6" xfId="14" applyFont="1" applyBorder="1" applyAlignment="1">
      <alignment vertical="top" wrapText="1"/>
    </xf>
    <xf numFmtId="0" fontId="3" fillId="0" borderId="4" xfId="14" applyFont="1" applyBorder="1" applyAlignment="1">
      <alignment vertical="top" wrapText="1"/>
    </xf>
    <xf numFmtId="0" fontId="3" fillId="0" borderId="6" xfId="12" applyFont="1" applyBorder="1" applyAlignment="1">
      <alignment vertical="top" wrapText="1"/>
    </xf>
    <xf numFmtId="0" fontId="3" fillId="0" borderId="4" xfId="12" applyFont="1" applyBorder="1" applyAlignment="1">
      <alignment vertical="top" wrapText="1"/>
    </xf>
    <xf numFmtId="0" fontId="3" fillId="0" borderId="6" xfId="12" applyFont="1" applyBorder="1" applyAlignment="1">
      <alignment wrapText="1"/>
    </xf>
    <xf numFmtId="0" fontId="3" fillId="0" borderId="4" xfId="12" applyFont="1" applyBorder="1" applyAlignment="1">
      <alignment wrapText="1"/>
    </xf>
    <xf numFmtId="0" fontId="3" fillId="0" borderId="6" xfId="12" applyFont="1" applyBorder="1" applyAlignment="1">
      <alignment horizontal="left" wrapText="1"/>
    </xf>
    <xf numFmtId="0" fontId="3" fillId="0" borderId="4" xfId="12" applyFont="1" applyBorder="1" applyAlignment="1">
      <alignment horizontal="left" wrapText="1"/>
    </xf>
  </cellXfs>
  <cellStyles count="58">
    <cellStyle name="Dziesiętny" xfId="1" builtinId="3"/>
    <cellStyle name="Dziesiętny 2" xfId="10"/>
    <cellStyle name="Dziesiętny 2 2" xfId="15"/>
    <cellStyle name="Dziesiętny 2 2 2" xfId="22"/>
    <cellStyle name="Dziesiętny 2 2 2 2" xfId="33"/>
    <cellStyle name="Dziesiętny 2 2 2 2 2" xfId="55"/>
    <cellStyle name="Dziesiętny 2 2 2 3" xfId="44"/>
    <cellStyle name="Dziesiętny 2 2 3" xfId="27"/>
    <cellStyle name="Dziesiętny 2 2 3 2" xfId="49"/>
    <cellStyle name="Dziesiętny 2 2 4" xfId="38"/>
    <cellStyle name="Dziesiętny 2 3" xfId="19"/>
    <cellStyle name="Dziesiętny 2 3 2" xfId="30"/>
    <cellStyle name="Dziesiętny 2 3 2 2" xfId="52"/>
    <cellStyle name="Dziesiętny 2 3 3" xfId="41"/>
    <cellStyle name="Dziesiętny 2 4" xfId="25"/>
    <cellStyle name="Dziesiętny 2 4 2" xfId="47"/>
    <cellStyle name="Dziesiętny 2 5" xfId="35"/>
    <cellStyle name="Dziesiętny 3" xfId="13"/>
    <cellStyle name="Dziesiętny 3 2" xfId="17"/>
    <cellStyle name="Dziesiętny 3 2 2" xfId="28"/>
    <cellStyle name="Dziesiętny 3 2 2 2" xfId="50"/>
    <cellStyle name="Dziesiętny 3 2 3" xfId="39"/>
    <cellStyle name="Dziesiętny 3 3" xfId="20"/>
    <cellStyle name="Dziesiętny 3 3 2" xfId="31"/>
    <cellStyle name="Dziesiętny 3 3 2 2" xfId="53"/>
    <cellStyle name="Dziesiętny 3 3 3" xfId="42"/>
    <cellStyle name="Dziesiętny 3 4" xfId="26"/>
    <cellStyle name="Dziesiętny 3 4 2" xfId="48"/>
    <cellStyle name="Dziesiętny 3 5" xfId="36"/>
    <cellStyle name="Dziesiętny 4" xfId="21"/>
    <cellStyle name="Dziesiętny 4 2" xfId="32"/>
    <cellStyle name="Dziesiętny 4 2 2" xfId="54"/>
    <cellStyle name="Dziesiętny 4 3" xfId="43"/>
    <cellStyle name="Dziesiętny 5" xfId="18"/>
    <cellStyle name="Dziesiętny 5 2" xfId="29"/>
    <cellStyle name="Dziesiętny 5 2 2" xfId="51"/>
    <cellStyle name="Dziesiętny 5 3" xfId="40"/>
    <cellStyle name="Dziesiętny 6" xfId="24"/>
    <cellStyle name="Dziesiętny 6 2" xfId="46"/>
    <cellStyle name="Dziesiętny 7" xfId="34"/>
    <cellStyle name="Hiperłącze" xfId="2" builtinId="8"/>
    <cellStyle name="Hiperłącze 2" xfId="3"/>
    <cellStyle name="Normal_Nota Nr 1" xfId="4"/>
    <cellStyle name="Normalny" xfId="0" builtinId="0"/>
    <cellStyle name="Normalny 2" xfId="5"/>
    <cellStyle name="Normalny 2 2" xfId="37"/>
    <cellStyle name="Normalny 2 3" xfId="57"/>
    <cellStyle name="Normalny 3" xfId="6"/>
    <cellStyle name="Normalny 3 2" xfId="14"/>
    <cellStyle name="Normalny 4" xfId="12"/>
    <cellStyle name="Normalny 5" xfId="56"/>
    <cellStyle name="Normalny_bilans_przekształceń" xfId="7"/>
    <cellStyle name="Normalny_Pakiet informacyjny 2.2" xfId="8"/>
    <cellStyle name="Procentowy" xfId="9" builtinId="5"/>
    <cellStyle name="Procentowy 2" xfId="11"/>
    <cellStyle name="Procentowy 2 2" xfId="16"/>
    <cellStyle name="Procentowy 3" xfId="23"/>
    <cellStyle name="Procentowy 3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7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afal/Ustawienia%20lokalne/Temporary%20Internet%20Files/OLK19/ZAT%20Pakiet%20konsolidacyjny%2006%202006%202007%2011%2008%20N18B%20do%20uzupenien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arycki/Ustawienia%20lokalne/Temporary%20Internet%20Files/Content.Outlook/NZDZ161T/HL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pkfconsult.pl/Documents%20and%20Settings/rbarycki/Ustawienia%20lokalne/Temporary%20Internet%20Files/Content.Outlook/NZDZ161T/Noty%20do%20konsolidacji/ZAT%20Pakiet%20konsolidacyjny%2006%202006%202007%2011%2008%20N18B%20do%20uzupenien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barycki/Ustawienia%20lokalne/Temporary%20Internet%20Files/Content.Outlook/NZDZ161T/Noty%20do%20konsolidacji/ZAT%20Pakiet%20konsolidacyjny%2006%202006%202007%2011%2008%20N18B%20do%20uzupenien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pkfconsult.pl/Documents%20and%20Settings/Rafal/Ustawienia%20lokalne/Temporary%20Internet%20Files/OLK19/ZAT%20Pakiet%20konsolidacyjny%2006%202006%202007%2011%2008%20N18B%20do%20uzupenien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e_60/Desktop/Sprawozdania,%20Raporty/Sprawozdania%202018/IV%20kwarta&#322;/KONSOLIDACJA/Kopia%20Kopia%20GK%20SF%20MSSF%2031.12.2018v2%20(003)%20(003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e_53/AppData/Local/Microsoft/Windows/INetCache/Content.Outlook/TKJJ88D9/Kopia%20GK%20SF%20MSSF%2031%2012_RZIS%20por_28_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B"/>
      <sheetName val="N11A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 refreshError="1">
        <row r="55">
          <cell r="BB55" t="str">
            <v>30.06.2006</v>
          </cell>
        </row>
        <row r="56">
          <cell r="BB56" t="str">
            <v>31.12.2005</v>
          </cell>
        </row>
        <row r="96">
          <cell r="BB96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A"/>
      <sheetName val="N11B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>
        <row r="62">
          <cell r="BB62" t="str">
            <v xml:space="preserve"> na dzień 01.01.2006 roku</v>
          </cell>
        </row>
        <row r="63">
          <cell r="BB63" t="str">
            <v xml:space="preserve"> na dzień 30.06.2006 roku</v>
          </cell>
        </row>
        <row r="68">
          <cell r="BB68" t="str">
            <v xml:space="preserve"> na dzień 01.01.2005 roku</v>
          </cell>
        </row>
        <row r="72">
          <cell r="BB72" t="str">
            <v xml:space="preserve"> na dzień 31.12.2005 roku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A"/>
      <sheetName val="N11B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>
        <row r="58">
          <cell r="BB58" t="str">
            <v>od 01.01 do 30.06.2006</v>
          </cell>
        </row>
        <row r="59">
          <cell r="BB59" t="str">
            <v>od 01.01 do 30.06.2005</v>
          </cell>
        </row>
        <row r="60">
          <cell r="BB60" t="str">
            <v>od 01.01 do 31.12.2005</v>
          </cell>
        </row>
        <row r="67">
          <cell r="BB67" t="str">
            <v xml:space="preserve"> w okresie od 01.01 do 30.06.2006 roku</v>
          </cell>
        </row>
        <row r="74">
          <cell r="BB74" t="str">
            <v xml:space="preserve"> w okresie od 01.01 do 31.12.2005 roku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A"/>
      <sheetName val="N11B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>
        <row r="58">
          <cell r="BB58" t="str">
            <v>od 01.01 do 30.06.2006</v>
          </cell>
        </row>
        <row r="59">
          <cell r="BB59" t="str">
            <v>od 01.01 do 30.06.2005</v>
          </cell>
        </row>
        <row r="60">
          <cell r="BB60" t="str">
            <v>od 01.01 do 31.12.2005</v>
          </cell>
        </row>
        <row r="67">
          <cell r="BB67" t="str">
            <v xml:space="preserve"> w okresie od 01.01 do 30.06.2006 roku</v>
          </cell>
        </row>
        <row r="74">
          <cell r="BB74" t="str">
            <v xml:space="preserve"> w okresie od 01.01 do 31.12.2005 roku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Wykaz jednostek"/>
      <sheetName val="SF"/>
      <sheetName val="ZZwK GK"/>
      <sheetName val="ZZwK Sp"/>
      <sheetName val="ZZwK 2"/>
      <sheetName val="N01A"/>
      <sheetName val="N01B"/>
      <sheetName val="N02"/>
      <sheetName val="N03"/>
      <sheetName val="N04"/>
      <sheetName val="N05"/>
      <sheetName val="N06A"/>
      <sheetName val="N06B"/>
      <sheetName val="N07"/>
      <sheetName val="N08"/>
      <sheetName val="N09"/>
      <sheetName val="N10"/>
      <sheetName val="N11B"/>
      <sheetName val="N11A"/>
      <sheetName val="N11C"/>
      <sheetName val="N11D"/>
      <sheetName val="N12"/>
      <sheetName val="N13"/>
      <sheetName val="N14"/>
      <sheetName val="N15"/>
      <sheetName val="N16"/>
      <sheetName val="N17"/>
      <sheetName val="N18A"/>
      <sheetName val="N18B"/>
      <sheetName val="N19"/>
      <sheetName val="N20"/>
      <sheetName val="N21"/>
      <sheetName val="N22"/>
      <sheetName val="N23"/>
      <sheetName val="WK"/>
      <sheetName val="Wybrane dane"/>
      <sheetName val="1 Należności"/>
      <sheetName val="2 Zobowiązania"/>
      <sheetName val="3 Pożyczki udzielone"/>
      <sheetName val="4 Zob finansowe"/>
      <sheetName val="5 Sprzedaż"/>
      <sheetName val="6 Zakup"/>
      <sheetName val="7 Dz finansowa"/>
      <sheetName val="8 ŚT sprzedający"/>
      <sheetName val="9 ŚT kupujący"/>
      <sheetName val="10 Wykaz AF"/>
      <sheetName val="11 Kapitał"/>
      <sheetName val="12 Warunkowe"/>
    </sheetNames>
    <sheetDataSet>
      <sheetData sheetId="0" refreshError="1">
        <row r="96">
          <cell r="BB96" t="str">
            <v>PLN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wybrane dane finansowe"/>
      <sheetName val="RZiS"/>
      <sheetName val="Skr. spr. z cał. dochodów"/>
      <sheetName val="Aktywa"/>
      <sheetName val="Pasywa"/>
      <sheetName val="ZZwK"/>
      <sheetName val="RPP"/>
      <sheetName val="NOTA 1,2 - Przychody i segmenty"/>
      <sheetName val="NOTA 3 - Koszty rodzajowe"/>
      <sheetName val="NOTA 4 - PPO i PKO"/>
      <sheetName val="NOTA 5 - PF i KF"/>
      <sheetName val="NOTA 6 - Podatek "/>
      <sheetName val="NOTA 7 - Działalność zaniechana"/>
      <sheetName val="NOTA 8,9 - Zysk na 1 akcję"/>
      <sheetName val="NOTA 10,11 -Poz.dochody całko."/>
      <sheetName val="NOTA 12 - Wartość godziwa"/>
      <sheetName val="NOTA 13 -Rzeczowe aktywa trwałe"/>
      <sheetName val="NOTA 14 -Wartości niematerialne"/>
      <sheetName val="NOTA 15 - Wartość firmy"/>
      <sheetName val="NOTA 16 - Nieruchomości inwest"/>
      <sheetName val="NOTA 17 - Inwest. jedn. stow."/>
      <sheetName val="NOTA 18,19  Pozost. akt.trw"/>
      <sheetName val="NOTA 20,21,22 -Akt. fin."/>
      <sheetName val="NOTA 23 - Zapasy"/>
      <sheetName val="NOTA 24 - Umowy długoterminowe"/>
      <sheetName val="NOTA 25,26 - Należności"/>
      <sheetName val="NOTA 27 - RMK"/>
      <sheetName val="NOTA 28 - Środki pieniężne"/>
      <sheetName val="NOTA  29,30,31,32- Kapitały"/>
      <sheetName val="NOTA 33 Kredyty i pożyczki"/>
      <sheetName val="NOTA 34 Zobowiązania finansowe"/>
      <sheetName val="NOTA 35 - Zob. długoterm."/>
      <sheetName val="NOTA 36,37 - Zob. hand i pozost"/>
      <sheetName val="NOTA 38,39 - ZFŚS, Zob. warunko"/>
      <sheetName val="NOTA 40 - Leasing"/>
      <sheetName val="NOTA 41 - RMP"/>
      <sheetName val="NOTA 42,43 - Rezerwy"/>
      <sheetName val="NOTA 44 - Zarządzanie ryzykiem"/>
      <sheetName val="NOTA 45 - Instrumenty finansowe"/>
      <sheetName val="NOTA 46 - Zarządzanie kapitałem"/>
      <sheetName val="NOTA 47 Świadczenia pracownicze"/>
      <sheetName val="NOTA 48 - Podmioty powiązane"/>
      <sheetName val="NOTA 49- Wynagrodzenie kadry "/>
      <sheetName val="NOTA 50 - Sruktura zatrudnienia"/>
      <sheetName val="NOTA 52 - Aktywowane koszty"/>
      <sheetName val="NOTA 59 - Sprawozdanie skonsol."/>
      <sheetName val="NOTA 60 - Wynagrodzenie BR"/>
      <sheetName val="NOTA 61 - Objasnienia do RPP"/>
      <sheetName val="Arkusz1"/>
    </sheetNames>
    <sheetDataSet>
      <sheetData sheetId="0">
        <row r="7">
          <cell r="B7" t="str">
            <v>01.01.2018-31.12.2018</v>
          </cell>
        </row>
        <row r="9">
          <cell r="B9">
            <v>43465</v>
          </cell>
        </row>
        <row r="14">
          <cell r="B14">
            <v>43100</v>
          </cell>
        </row>
      </sheetData>
      <sheetData sheetId="1"/>
      <sheetData sheetId="2">
        <row r="8">
          <cell r="D8">
            <v>2486849</v>
          </cell>
        </row>
      </sheetData>
      <sheetData sheetId="3"/>
      <sheetData sheetId="4">
        <row r="5">
          <cell r="D5">
            <v>18879368</v>
          </cell>
          <cell r="E5">
            <v>14712781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4">
          <cell r="B54" t="str">
            <v>Wartość bilansowa brutto na dzień 31.12.2018</v>
          </cell>
        </row>
        <row r="55">
          <cell r="B55" t="str">
            <v>Umorzenie na dzień 01.01.2018</v>
          </cell>
        </row>
        <row r="67">
          <cell r="B67" t="str">
            <v>Umorzenie na dzień 31.12.2018</v>
          </cell>
        </row>
        <row r="69">
          <cell r="B69" t="str">
            <v>Wartość bilansowa netto na dzień 31.12.2018</v>
          </cell>
        </row>
        <row r="74">
          <cell r="B74" t="str">
            <v>Wartość bilansowa brutto na dzień 01.01.2017</v>
          </cell>
        </row>
        <row r="90">
          <cell r="B90" t="str">
            <v>Wartość bilansowa brutto na dzień 31.12.2017</v>
          </cell>
        </row>
        <row r="91">
          <cell r="B91" t="str">
            <v>Umorzenie na dzień 01.01.2017</v>
          </cell>
        </row>
        <row r="101">
          <cell r="B101" t="str">
            <v>Umorzenie na dzień 31.12.2017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 podstawowe"/>
      <sheetName val="wybrane dane finansowe"/>
      <sheetName val="RZiS"/>
      <sheetName val="Skr. spr. z cał. dochodów"/>
      <sheetName val="Aktywa"/>
      <sheetName val="Pasywa"/>
      <sheetName val="ZZwK"/>
      <sheetName val="RPP"/>
      <sheetName val="NOTA 1,2 - Przychody i segmenty"/>
      <sheetName val="NOTA 3 - Koszty rodzajowe"/>
      <sheetName val="NOTA 4 - PPO i PKO"/>
      <sheetName val="NOTA 5 - PF i KF"/>
      <sheetName val="NOTA 6 - Podatek "/>
      <sheetName val="NOTA 7 - Działalność zaniechana"/>
      <sheetName val="NOTA 8,9 - Zysk na 1 akcję"/>
      <sheetName val="NOTA 10,11 -Poz.dochody całko."/>
      <sheetName val="NOTA 12 - Wartość godziwa"/>
      <sheetName val="NOTA 13 -Rzeczowe aktywa trwałe"/>
      <sheetName val="NOTA 14 -Wartości niematerialne"/>
      <sheetName val="NOTA 15 - Wartość firmy"/>
      <sheetName val="NOTA 16 - Nieruchomości inwest"/>
      <sheetName val="NOTA 17 - Inwest. jedn. stow."/>
      <sheetName val="NOTA 18,19  Pozost. akt.trw"/>
      <sheetName val="NOTA 20,21,22 -Akt. fin."/>
      <sheetName val="NOTA 23 - Zapasy"/>
      <sheetName val="NOTA 24 - Umowy długoterminowe"/>
      <sheetName val="NOTA 25,26 - Należności"/>
      <sheetName val="NOTA 27 - RMK"/>
      <sheetName val="NOTA 28 - Środki pieniężne"/>
      <sheetName val="NOTA  29,30,31,32- Kapitały"/>
      <sheetName val="NOTA 33 Kredyty i pożyczki"/>
      <sheetName val="NOTA 34 Zobowiązania finansowe"/>
      <sheetName val="NOTA 35 - Zob. długoterm."/>
      <sheetName val="NOTA 36,37 - Zob. hand i pozost"/>
      <sheetName val="NOTA 38,39 - ZFŚS, Zob. warunko"/>
      <sheetName val="NOTA 40 - Leasing"/>
      <sheetName val="NOTA 41 - RMP"/>
      <sheetName val="NOTA 42,43 - Rezerwy"/>
      <sheetName val="NOTA 44 - Zarządzanie ryzykiem"/>
      <sheetName val="NOTA 45 - Instrumenty finansowe"/>
      <sheetName val="NOTA 46 - Zarządzanie kapitałem"/>
      <sheetName val="NOTA 47 Świadczenia pracownicze"/>
      <sheetName val="NOTA 48 - Podmioty powiązane"/>
      <sheetName val="NOTA 49- Wynagrodzenie kadry "/>
      <sheetName val="NOTA 50 - Sruktura zatrudnienia"/>
      <sheetName val="NOTA 52 - Aktywowane koszty"/>
      <sheetName val="NOTA 59 - Sprawozdanie skonsol."/>
      <sheetName val="NOTA 60 - Wynagrodzenie BR"/>
      <sheetName val="NOTA 61 - Objasnienia do RPP"/>
      <sheetName val="Arkusz1"/>
    </sheetNames>
    <sheetDataSet>
      <sheetData sheetId="0">
        <row r="7">
          <cell r="B7" t="str">
            <v>01.01.2014 - 31.12.2014</v>
          </cell>
        </row>
      </sheetData>
      <sheetData sheetId="1" refreshError="1"/>
      <sheetData sheetId="2" refreshError="1"/>
      <sheetData sheetId="3" refreshError="1"/>
      <sheetData sheetId="4">
        <row r="10">
          <cell r="E10">
            <v>107262</v>
          </cell>
        </row>
      </sheetData>
      <sheetData sheetId="5">
        <row r="5">
          <cell r="D5">
            <v>221550</v>
          </cell>
          <cell r="E5">
            <v>221550</v>
          </cell>
        </row>
        <row r="8">
          <cell r="D8">
            <v>9547425.3300000001</v>
          </cell>
          <cell r="E8">
            <v>9103159.0199999996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7">
          <cell r="B7">
            <v>0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78">
          <cell r="C78">
            <v>221550</v>
          </cell>
          <cell r="D78">
            <v>221550</v>
          </cell>
        </row>
        <row r="112">
          <cell r="F112">
            <v>0</v>
          </cell>
          <cell r="G112">
            <v>9547425.7599999998</v>
          </cell>
        </row>
        <row r="130">
          <cell r="F130">
            <v>0</v>
          </cell>
          <cell r="G130">
            <v>9103159.4499999993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E17"/>
  <sheetViews>
    <sheetView showGridLines="0" view="pageBreakPreview" zoomScaleNormal="75" workbookViewId="0">
      <selection activeCell="B10" sqref="B10"/>
    </sheetView>
  </sheetViews>
  <sheetFormatPr defaultColWidth="9.21875" defaultRowHeight="13.2" x14ac:dyDescent="0.25"/>
  <cols>
    <col min="1" max="1" width="51.77734375" style="281" customWidth="1"/>
    <col min="2" max="2" width="36.21875" style="280" customWidth="1"/>
    <col min="3" max="3" width="29.44140625" style="280" customWidth="1"/>
    <col min="4" max="4" width="9.21875" style="277"/>
    <col min="5" max="5" width="0" style="277" hidden="1" customWidth="1"/>
    <col min="6" max="16384" width="9.21875" style="277"/>
  </cols>
  <sheetData>
    <row r="1" spans="1:5" s="275" customFormat="1" ht="27" thickBot="1" x14ac:dyDescent="0.3">
      <c r="A1" s="274"/>
      <c r="B1" s="401" t="s">
        <v>366</v>
      </c>
      <c r="C1" s="402" t="s">
        <v>367</v>
      </c>
    </row>
    <row r="2" spans="1:5" ht="28.05" customHeight="1" x14ac:dyDescent="0.25">
      <c r="A2" s="276" t="s">
        <v>368</v>
      </c>
      <c r="B2" s="403" t="s">
        <v>661</v>
      </c>
      <c r="C2" s="404" t="s">
        <v>369</v>
      </c>
    </row>
    <row r="3" spans="1:5" ht="29.25" customHeight="1" x14ac:dyDescent="0.25">
      <c r="A3" s="278"/>
      <c r="B3" s="279"/>
    </row>
    <row r="4" spans="1:5" ht="29.25" customHeight="1" x14ac:dyDescent="0.25">
      <c r="A4" s="276" t="s">
        <v>370</v>
      </c>
      <c r="B4" s="403" t="s">
        <v>662</v>
      </c>
      <c r="C4" s="404" t="s">
        <v>444</v>
      </c>
    </row>
    <row r="5" spans="1:5" x14ac:dyDescent="0.25">
      <c r="B5" s="282"/>
    </row>
    <row r="6" spans="1:5" x14ac:dyDescent="0.25">
      <c r="A6" s="276" t="s">
        <v>485</v>
      </c>
      <c r="B6" s="283"/>
    </row>
    <row r="7" spans="1:5" ht="13.8" customHeight="1" x14ac:dyDescent="0.25">
      <c r="A7" s="281" t="s">
        <v>6</v>
      </c>
      <c r="B7" s="405" t="s">
        <v>832</v>
      </c>
      <c r="C7" s="404" t="s">
        <v>480</v>
      </c>
    </row>
    <row r="8" spans="1:5" ht="13.8" customHeight="1" x14ac:dyDescent="0.25">
      <c r="A8" s="281" t="s">
        <v>371</v>
      </c>
      <c r="B8" s="459">
        <v>43101</v>
      </c>
      <c r="C8" s="404" t="s">
        <v>480</v>
      </c>
    </row>
    <row r="9" spans="1:5" x14ac:dyDescent="0.25">
      <c r="A9" s="281" t="s">
        <v>372</v>
      </c>
      <c r="B9" s="459">
        <v>43465</v>
      </c>
      <c r="C9" s="404" t="s">
        <v>481</v>
      </c>
    </row>
    <row r="11" spans="1:5" x14ac:dyDescent="0.25">
      <c r="A11" s="362" t="s">
        <v>486</v>
      </c>
    </row>
    <row r="12" spans="1:5" x14ac:dyDescent="0.25">
      <c r="A12" s="281" t="s">
        <v>6</v>
      </c>
      <c r="B12" s="405" t="s">
        <v>775</v>
      </c>
      <c r="C12" s="404" t="s">
        <v>482</v>
      </c>
    </row>
    <row r="13" spans="1:5" x14ac:dyDescent="0.25">
      <c r="A13" s="281" t="s">
        <v>371</v>
      </c>
      <c r="B13" s="459">
        <v>42736</v>
      </c>
      <c r="C13" s="404" t="s">
        <v>483</v>
      </c>
    </row>
    <row r="14" spans="1:5" x14ac:dyDescent="0.25">
      <c r="A14" s="281" t="s">
        <v>372</v>
      </c>
      <c r="B14" s="459">
        <v>43100</v>
      </c>
      <c r="C14" s="404" t="s">
        <v>484</v>
      </c>
    </row>
    <row r="16" spans="1:5" x14ac:dyDescent="0.25">
      <c r="A16" s="281" t="s">
        <v>378</v>
      </c>
      <c r="B16" s="406" t="s">
        <v>776</v>
      </c>
      <c r="C16" s="407" t="s">
        <v>405</v>
      </c>
      <c r="E16" s="277">
        <f>IF(C16="nie",0,IF(C16="tak",1,2))</f>
        <v>2</v>
      </c>
    </row>
    <row r="17" spans="3:3" x14ac:dyDescent="0.25">
      <c r="C17" s="284"/>
    </row>
  </sheetData>
  <phoneticPr fontId="3" type="noConversion"/>
  <pageMargins left="0.75" right="0.75" top="1" bottom="1" header="0.5" footer="0.5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pageSetUpPr fitToPage="1"/>
  </sheetPr>
  <dimension ref="B1:D23"/>
  <sheetViews>
    <sheetView showGridLines="0" view="pageBreakPreview" topLeftCell="A4" zoomScaleNormal="100" zoomScaleSheetLayoutView="100" workbookViewId="0">
      <selection activeCell="A23" sqref="A23:XFD26"/>
    </sheetView>
  </sheetViews>
  <sheetFormatPr defaultColWidth="9.21875" defaultRowHeight="13.2" x14ac:dyDescent="0.25"/>
  <cols>
    <col min="1" max="1" width="3.21875" customWidth="1"/>
    <col min="2" max="2" width="50.77734375" customWidth="1"/>
    <col min="3" max="4" width="13.77734375" customWidth="1"/>
  </cols>
  <sheetData>
    <row r="1" spans="2:4" x14ac:dyDescent="0.25">
      <c r="B1" s="38"/>
    </row>
    <row r="2" spans="2:4" s="44" customFormat="1" x14ac:dyDescent="0.25">
      <c r="B2" s="412" t="s">
        <v>620</v>
      </c>
    </row>
    <row r="3" spans="2:4" x14ac:dyDescent="0.25">
      <c r="B3" s="1"/>
      <c r="C3" s="1"/>
      <c r="D3" s="1"/>
    </row>
    <row r="4" spans="2:4" ht="20.399999999999999" x14ac:dyDescent="0.25">
      <c r="B4" s="118" t="s">
        <v>654</v>
      </c>
      <c r="C4" s="118" t="str">
        <f>'Dane podstawowe'!$B$7</f>
        <v>01.01.2018-31.12.2018</v>
      </c>
      <c r="D4" s="118" t="str">
        <f>'Dane podstawowe'!$B$12</f>
        <v>01.01.2017-31.12.2017</v>
      </c>
    </row>
    <row r="5" spans="2:4" x14ac:dyDescent="0.25">
      <c r="B5" s="55" t="s">
        <v>32</v>
      </c>
      <c r="C5" s="159">
        <f>RZiS!D8</f>
        <v>2486849</v>
      </c>
      <c r="D5" s="159">
        <f>RZiS!E8</f>
        <v>1380582</v>
      </c>
    </row>
    <row r="6" spans="2:4" x14ac:dyDescent="0.25">
      <c r="B6" s="55" t="s">
        <v>33</v>
      </c>
      <c r="C6" s="159">
        <f>RZiS!D9</f>
        <v>427731</v>
      </c>
      <c r="D6" s="159">
        <f>RZiS!E9</f>
        <v>388516</v>
      </c>
    </row>
    <row r="7" spans="2:4" x14ac:dyDescent="0.25">
      <c r="B7" s="55" t="s">
        <v>34</v>
      </c>
      <c r="C7" s="159">
        <f>RZiS!D10</f>
        <v>27139847</v>
      </c>
      <c r="D7" s="159">
        <f>RZiS!E10</f>
        <v>26621282</v>
      </c>
    </row>
    <row r="8" spans="2:4" x14ac:dyDescent="0.25">
      <c r="B8" s="55" t="s">
        <v>35</v>
      </c>
      <c r="C8" s="159">
        <f>RZiS!D11</f>
        <v>216240</v>
      </c>
      <c r="D8" s="159">
        <f>RZiS!E11</f>
        <v>155970</v>
      </c>
    </row>
    <row r="9" spans="2:4" x14ac:dyDescent="0.25">
      <c r="B9" s="55" t="s">
        <v>229</v>
      </c>
      <c r="C9" s="159">
        <f>RZiS!D12</f>
        <v>12623987</v>
      </c>
      <c r="D9" s="159">
        <f>RZiS!E12</f>
        <v>10058184</v>
      </c>
    </row>
    <row r="10" spans="2:4" x14ac:dyDescent="0.25">
      <c r="B10" s="55" t="s">
        <v>230</v>
      </c>
      <c r="C10" s="159">
        <f>RZiS!D13</f>
        <v>2281533</v>
      </c>
      <c r="D10" s="159">
        <f>RZiS!E13</f>
        <v>1536382</v>
      </c>
    </row>
    <row r="11" spans="2:4" x14ac:dyDescent="0.25">
      <c r="B11" s="55" t="s">
        <v>36</v>
      </c>
      <c r="C11" s="159">
        <f>RZiS!D14</f>
        <v>874738</v>
      </c>
      <c r="D11" s="159">
        <f>RZiS!E14</f>
        <v>1336966</v>
      </c>
    </row>
    <row r="12" spans="2:4" x14ac:dyDescent="0.25">
      <c r="B12" s="55" t="s">
        <v>37</v>
      </c>
      <c r="C12" s="159">
        <f>RZiS!D15</f>
        <v>95009</v>
      </c>
      <c r="D12" s="159">
        <f>RZiS!E15</f>
        <v>0</v>
      </c>
    </row>
    <row r="13" spans="2:4" x14ac:dyDescent="0.25">
      <c r="B13" s="62" t="s">
        <v>824</v>
      </c>
      <c r="C13" s="483">
        <f>SUM(C5:C12)</f>
        <v>46145934</v>
      </c>
      <c r="D13" s="483">
        <f>SUM(D5:D12)</f>
        <v>41477882</v>
      </c>
    </row>
    <row r="14" spans="2:4" x14ac:dyDescent="0.25">
      <c r="B14" s="58"/>
      <c r="C14" s="311">
        <f>RZiS!D7-'NOTA 3 - Koszty rodzajowe'!C13</f>
        <v>0</v>
      </c>
      <c r="D14" s="311">
        <f>RZiS!E7-'NOTA 3 - Koszty rodzajowe'!D13</f>
        <v>0</v>
      </c>
    </row>
    <row r="15" spans="2:4" x14ac:dyDescent="0.25">
      <c r="B15" s="1"/>
      <c r="C15" s="1"/>
      <c r="D15" s="1"/>
    </row>
    <row r="16" spans="2:4" x14ac:dyDescent="0.25">
      <c r="B16" s="3" t="s">
        <v>446</v>
      </c>
      <c r="C16" s="1"/>
      <c r="D16" s="1"/>
    </row>
    <row r="17" spans="2:4" x14ac:dyDescent="0.25">
      <c r="B17" s="3"/>
      <c r="C17" s="1"/>
      <c r="D17" s="1"/>
    </row>
    <row r="18" spans="2:4" ht="20.399999999999999" x14ac:dyDescent="0.25">
      <c r="B18" s="118" t="s">
        <v>774</v>
      </c>
      <c r="C18" s="118" t="str">
        <f>'Dane podstawowe'!$B$7</f>
        <v>01.01.2018-31.12.2018</v>
      </c>
      <c r="D18" s="118" t="str">
        <f>'Dane podstawowe'!$B$12</f>
        <v>01.01.2017-31.12.2017</v>
      </c>
    </row>
    <row r="19" spans="2:4" x14ac:dyDescent="0.25">
      <c r="B19" s="60" t="s">
        <v>38</v>
      </c>
      <c r="C19" s="159">
        <f>2144419-13559</f>
        <v>2130860</v>
      </c>
      <c r="D19" s="159">
        <v>265715</v>
      </c>
    </row>
    <row r="20" spans="2:4" x14ac:dyDescent="0.25">
      <c r="B20" s="60" t="s">
        <v>39</v>
      </c>
      <c r="C20" s="159">
        <f>353015+2974</f>
        <v>355989</v>
      </c>
      <c r="D20" s="159">
        <v>1114867</v>
      </c>
    </row>
    <row r="21" spans="2:4" x14ac:dyDescent="0.25">
      <c r="B21" s="88" t="s">
        <v>28</v>
      </c>
      <c r="C21" s="483">
        <f>SUM(C19:C20)</f>
        <v>2486849</v>
      </c>
      <c r="D21" s="483">
        <f>SUM(D19:D20)</f>
        <v>1380582</v>
      </c>
    </row>
    <row r="22" spans="2:4" x14ac:dyDescent="0.25">
      <c r="B22" s="58"/>
      <c r="C22" s="484">
        <f>C21-RZiS!D8</f>
        <v>0</v>
      </c>
      <c r="D22" s="484">
        <f>D21-RZiS!E8</f>
        <v>0</v>
      </c>
    </row>
    <row r="23" spans="2:4" x14ac:dyDescent="0.25">
      <c r="B23" s="58"/>
      <c r="C23" s="58"/>
      <c r="D23" s="58"/>
    </row>
  </sheetData>
  <phoneticPr fontId="28" type="noConversion"/>
  <pageMargins left="0.75" right="0.75" top="1" bottom="1" header="0.5" footer="0.5"/>
  <pageSetup paperSize="9" scale="7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pageSetUpPr fitToPage="1"/>
  </sheetPr>
  <dimension ref="A1:C35"/>
  <sheetViews>
    <sheetView showGridLines="0" view="pageBreakPreview" topLeftCell="A11" zoomScale="148" zoomScaleNormal="100" zoomScaleSheetLayoutView="148" workbookViewId="0">
      <selection activeCell="A40" sqref="A40"/>
    </sheetView>
  </sheetViews>
  <sheetFormatPr defaultColWidth="9.21875" defaultRowHeight="13.2" x14ac:dyDescent="0.25"/>
  <cols>
    <col min="1" max="1" width="45.5546875" customWidth="1"/>
    <col min="2" max="3" width="17" style="343" customWidth="1"/>
  </cols>
  <sheetData>
    <row r="1" spans="1:3" s="64" customFormat="1" x14ac:dyDescent="0.25">
      <c r="A1" s="38"/>
      <c r="B1" s="340"/>
      <c r="C1" s="340"/>
    </row>
    <row r="2" spans="1:3" s="44" customFormat="1" ht="10.199999999999999" x14ac:dyDescent="0.2">
      <c r="B2" s="383"/>
      <c r="C2" s="383"/>
    </row>
    <row r="3" spans="1:3" s="514" customFormat="1" x14ac:dyDescent="0.25">
      <c r="A3" s="412" t="s">
        <v>621</v>
      </c>
    </row>
    <row r="4" spans="1:3" s="44" customFormat="1" ht="10.199999999999999" x14ac:dyDescent="0.2">
      <c r="A4" s="3"/>
      <c r="B4" s="383"/>
      <c r="C4" s="383"/>
    </row>
    <row r="5" spans="1:3" s="485" customFormat="1" ht="10.199999999999999" x14ac:dyDescent="0.25">
      <c r="A5" s="531" t="s">
        <v>270</v>
      </c>
      <c r="B5" s="341" t="str">
        <f>'Dane podstawowe'!B7</f>
        <v>01.01.2018-31.12.2018</v>
      </c>
      <c r="C5" s="341" t="str">
        <f>'Dane podstawowe'!B12</f>
        <v>01.01.2017-31.12.2017</v>
      </c>
    </row>
    <row r="6" spans="1:3" s="44" customFormat="1" ht="10.199999999999999" x14ac:dyDescent="0.2">
      <c r="A6" s="571" t="s">
        <v>899</v>
      </c>
      <c r="B6" s="157">
        <v>21640</v>
      </c>
      <c r="C6" s="157">
        <v>0</v>
      </c>
    </row>
    <row r="7" spans="1:3" s="44" customFormat="1" ht="10.199999999999999" x14ac:dyDescent="0.2">
      <c r="A7" s="571" t="s">
        <v>825</v>
      </c>
      <c r="B7" s="157">
        <v>21543</v>
      </c>
      <c r="C7" s="157">
        <v>15834</v>
      </c>
    </row>
    <row r="8" spans="1:3" s="44" customFormat="1" ht="10.199999999999999" x14ac:dyDescent="0.2">
      <c r="A8" s="571" t="s">
        <v>898</v>
      </c>
      <c r="B8" s="157">
        <v>18152</v>
      </c>
      <c r="C8" s="157">
        <v>0</v>
      </c>
    </row>
    <row r="9" spans="1:3" s="44" customFormat="1" ht="24.75" hidden="1" customHeight="1" x14ac:dyDescent="0.2">
      <c r="A9" s="69" t="s">
        <v>29</v>
      </c>
      <c r="B9" s="157"/>
      <c r="C9" s="157">
        <v>0</v>
      </c>
    </row>
    <row r="10" spans="1:3" s="44" customFormat="1" ht="10.199999999999999" hidden="1" x14ac:dyDescent="0.2">
      <c r="A10" s="46" t="s">
        <v>267</v>
      </c>
      <c r="B10" s="157"/>
      <c r="C10" s="157">
        <v>0</v>
      </c>
    </row>
    <row r="11" spans="1:3" s="44" customFormat="1" ht="10.199999999999999" x14ac:dyDescent="0.2">
      <c r="A11" s="571" t="s">
        <v>268</v>
      </c>
      <c r="B11" s="157">
        <v>10917</v>
      </c>
      <c r="C11" s="157">
        <v>155681</v>
      </c>
    </row>
    <row r="12" spans="1:3" s="44" customFormat="1" ht="10.199999999999999" x14ac:dyDescent="0.2">
      <c r="A12" s="571" t="s">
        <v>821</v>
      </c>
      <c r="B12" s="157">
        <v>8266</v>
      </c>
      <c r="C12" s="157">
        <v>43207</v>
      </c>
    </row>
    <row r="13" spans="1:3" s="44" customFormat="1" ht="10.199999999999999" hidden="1" x14ac:dyDescent="0.2">
      <c r="A13" s="46"/>
      <c r="B13" s="157"/>
      <c r="C13" s="157"/>
    </row>
    <row r="14" spans="1:3" s="44" customFormat="1" ht="10.199999999999999" x14ac:dyDescent="0.2">
      <c r="A14" s="571" t="s">
        <v>235</v>
      </c>
      <c r="B14" s="157">
        <v>0</v>
      </c>
      <c r="C14" s="157">
        <v>4500</v>
      </c>
    </row>
    <row r="15" spans="1:3" s="44" customFormat="1" ht="10.199999999999999" hidden="1" x14ac:dyDescent="0.2">
      <c r="A15" s="46" t="s">
        <v>294</v>
      </c>
      <c r="B15" s="157"/>
      <c r="C15" s="157"/>
    </row>
    <row r="16" spans="1:3" s="44" customFormat="1" ht="10.199999999999999" hidden="1" x14ac:dyDescent="0.2">
      <c r="A16" s="46" t="s">
        <v>294</v>
      </c>
      <c r="B16" s="157"/>
      <c r="C16" s="157"/>
    </row>
    <row r="17" spans="1:3" s="44" customFormat="1" ht="10.199999999999999" x14ac:dyDescent="0.2">
      <c r="A17" s="46" t="s">
        <v>578</v>
      </c>
      <c r="B17" s="157">
        <v>27221</v>
      </c>
      <c r="C17" s="157">
        <v>10105</v>
      </c>
    </row>
    <row r="18" spans="1:3" s="52" customFormat="1" ht="10.199999999999999" x14ac:dyDescent="0.2">
      <c r="A18" s="68" t="s">
        <v>28</v>
      </c>
      <c r="B18" s="83">
        <f>SUM(B6:B17)</f>
        <v>107739</v>
      </c>
      <c r="C18" s="83">
        <f>SUM(C6:C17)</f>
        <v>229327</v>
      </c>
    </row>
    <row r="19" spans="1:3" s="44" customFormat="1" ht="10.199999999999999" x14ac:dyDescent="0.2">
      <c r="A19" s="66"/>
      <c r="B19" s="312">
        <f>RZiS!D18-B18</f>
        <v>0</v>
      </c>
      <c r="C19" s="312">
        <f>RZiS!E18-C18</f>
        <v>0</v>
      </c>
    </row>
    <row r="20" spans="1:3" s="44" customFormat="1" ht="10.199999999999999" x14ac:dyDescent="0.2">
      <c r="A20" s="67"/>
      <c r="B20" s="342"/>
      <c r="C20" s="342"/>
    </row>
    <row r="21" spans="1:3" s="44" customFormat="1" ht="10.199999999999999" x14ac:dyDescent="0.2">
      <c r="A21" s="531" t="s">
        <v>271</v>
      </c>
      <c r="B21" s="341" t="str">
        <f>B5</f>
        <v>01.01.2018-31.12.2018</v>
      </c>
      <c r="C21" s="341" t="str">
        <f>C5</f>
        <v>01.01.2017-31.12.2017</v>
      </c>
    </row>
    <row r="22" spans="1:3" s="44" customFormat="1" ht="10.199999999999999" x14ac:dyDescent="0.2">
      <c r="A22" s="571" t="s">
        <v>497</v>
      </c>
      <c r="B22" s="476">
        <v>378545</v>
      </c>
      <c r="C22" s="476">
        <v>320943</v>
      </c>
    </row>
    <row r="23" spans="1:3" s="44" customFormat="1" ht="10.199999999999999" x14ac:dyDescent="0.2">
      <c r="A23" s="571" t="s">
        <v>900</v>
      </c>
      <c r="B23" s="157">
        <v>167064</v>
      </c>
      <c r="C23" s="157">
        <v>0</v>
      </c>
    </row>
    <row r="24" spans="1:3" s="44" customFormat="1" ht="10.199999999999999" x14ac:dyDescent="0.2">
      <c r="A24" s="571" t="s">
        <v>899</v>
      </c>
      <c r="B24" s="157">
        <v>26030</v>
      </c>
      <c r="C24" s="157">
        <v>0</v>
      </c>
    </row>
    <row r="25" spans="1:3" s="44" customFormat="1" ht="10.199999999999999" x14ac:dyDescent="0.2">
      <c r="A25" s="571" t="s">
        <v>669</v>
      </c>
      <c r="B25" s="157">
        <v>12436</v>
      </c>
      <c r="C25" s="157">
        <v>9822</v>
      </c>
    </row>
    <row r="26" spans="1:3" s="44" customFormat="1" ht="12" customHeight="1" x14ac:dyDescent="0.2">
      <c r="A26" s="71" t="s">
        <v>901</v>
      </c>
      <c r="B26" s="157">
        <v>10413</v>
      </c>
      <c r="C26" s="157">
        <v>0</v>
      </c>
    </row>
    <row r="27" spans="1:3" s="44" customFormat="1" ht="10.199999999999999" x14ac:dyDescent="0.2">
      <c r="A27" s="571" t="s">
        <v>236</v>
      </c>
      <c r="B27" s="157">
        <v>3371</v>
      </c>
      <c r="C27" s="157">
        <v>35034</v>
      </c>
    </row>
    <row r="28" spans="1:3" s="44" customFormat="1" ht="10.199999999999999" x14ac:dyDescent="0.2">
      <c r="A28" s="571" t="s">
        <v>269</v>
      </c>
      <c r="B28" s="157">
        <v>1821</v>
      </c>
      <c r="C28" s="157">
        <v>9500</v>
      </c>
    </row>
    <row r="29" spans="1:3" s="44" customFormat="1" ht="10.199999999999999" x14ac:dyDescent="0.2">
      <c r="A29" s="571" t="s">
        <v>670</v>
      </c>
      <c r="B29" s="157">
        <v>1701</v>
      </c>
      <c r="C29" s="157">
        <v>4789</v>
      </c>
    </row>
    <row r="30" spans="1:3" s="44" customFormat="1" ht="10.199999999999999" x14ac:dyDescent="0.2">
      <c r="A30" s="46" t="s">
        <v>578</v>
      </c>
      <c r="B30" s="157">
        <v>55088</v>
      </c>
      <c r="C30" s="157">
        <v>17569</v>
      </c>
    </row>
    <row r="31" spans="1:3" s="52" customFormat="1" ht="10.199999999999999" x14ac:dyDescent="0.2">
      <c r="A31" s="70" t="s">
        <v>28</v>
      </c>
      <c r="B31" s="83">
        <f>SUM(B22:B30)</f>
        <v>656469</v>
      </c>
      <c r="C31" s="83">
        <f>SUM(C22:C30)</f>
        <v>397657</v>
      </c>
    </row>
    <row r="32" spans="1:3" s="52" customFormat="1" ht="10.199999999999999" x14ac:dyDescent="0.2">
      <c r="A32" s="12"/>
      <c r="B32" s="433">
        <f>RZiS!D19-B31</f>
        <v>0</v>
      </c>
      <c r="C32" s="433">
        <f>RZiS!E19-C31</f>
        <v>0</v>
      </c>
    </row>
    <row r="34" spans="1:1" x14ac:dyDescent="0.25">
      <c r="A34" s="313"/>
    </row>
    <row r="35" spans="1:1" x14ac:dyDescent="0.25">
      <c r="A35" s="314"/>
    </row>
  </sheetData>
  <phoneticPr fontId="28" type="noConversion"/>
  <pageMargins left="0.7" right="0.7" top="0.75" bottom="0.75" header="0.3" footer="0.3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35"/>
  <sheetViews>
    <sheetView showGridLines="0" view="pageBreakPreview" zoomScaleNormal="100" zoomScaleSheetLayoutView="100" workbookViewId="0">
      <selection activeCell="E29" sqref="E29"/>
    </sheetView>
  </sheetViews>
  <sheetFormatPr defaultColWidth="9.21875" defaultRowHeight="13.2" x14ac:dyDescent="0.25"/>
  <cols>
    <col min="1" max="1" width="42" customWidth="1"/>
    <col min="2" max="3" width="16.5546875" style="343" customWidth="1"/>
    <col min="4" max="9" width="16.5546875" customWidth="1"/>
  </cols>
  <sheetData>
    <row r="1" spans="1:3" x14ac:dyDescent="0.25">
      <c r="A1" s="38"/>
    </row>
    <row r="2" spans="1:3" x14ac:dyDescent="0.25">
      <c r="B2" s="344"/>
      <c r="C2" s="344"/>
    </row>
    <row r="3" spans="1:3" x14ac:dyDescent="0.25">
      <c r="A3" s="412" t="s">
        <v>622</v>
      </c>
      <c r="B3" s="383"/>
      <c r="C3" s="383"/>
    </row>
    <row r="4" spans="1:3" x14ac:dyDescent="0.25">
      <c r="A4" s="412"/>
      <c r="B4" s="383"/>
      <c r="C4" s="383"/>
    </row>
    <row r="5" spans="1:3" x14ac:dyDescent="0.25">
      <c r="A5" s="142" t="s">
        <v>352</v>
      </c>
      <c r="B5" s="341" t="str">
        <f>'Dane podstawowe'!B7</f>
        <v>01.01.2018-31.12.2018</v>
      </c>
      <c r="C5" s="341" t="str">
        <f>'Dane podstawowe'!B12</f>
        <v>01.01.2017-31.12.2017</v>
      </c>
    </row>
    <row r="6" spans="1:3" x14ac:dyDescent="0.25">
      <c r="A6" s="46" t="s">
        <v>394</v>
      </c>
      <c r="B6" s="434">
        <v>41494</v>
      </c>
      <c r="C6" s="434">
        <v>46962</v>
      </c>
    </row>
    <row r="7" spans="1:3" ht="21" hidden="1" x14ac:dyDescent="0.25">
      <c r="A7" s="46" t="s">
        <v>272</v>
      </c>
      <c r="B7" s="160"/>
      <c r="C7" s="160"/>
    </row>
    <row r="8" spans="1:3" ht="21" hidden="1" x14ac:dyDescent="0.25">
      <c r="A8" s="46" t="s">
        <v>273</v>
      </c>
      <c r="B8" s="160"/>
      <c r="C8" s="160"/>
    </row>
    <row r="9" spans="1:3" ht="21" hidden="1" x14ac:dyDescent="0.25">
      <c r="A9" s="46" t="s">
        <v>274</v>
      </c>
      <c r="B9" s="160"/>
      <c r="C9" s="160"/>
    </row>
    <row r="10" spans="1:3" hidden="1" x14ac:dyDescent="0.25">
      <c r="A10" s="46" t="s">
        <v>275</v>
      </c>
      <c r="B10" s="157"/>
      <c r="C10" s="157"/>
    </row>
    <row r="11" spans="1:3" hidden="1" x14ac:dyDescent="0.25">
      <c r="A11" s="46" t="s">
        <v>276</v>
      </c>
      <c r="B11" s="157"/>
      <c r="C11" s="157"/>
    </row>
    <row r="12" spans="1:3" hidden="1" x14ac:dyDescent="0.25">
      <c r="A12" s="46" t="s">
        <v>277</v>
      </c>
      <c r="B12" s="157"/>
      <c r="C12" s="157"/>
    </row>
    <row r="13" spans="1:3" hidden="1" x14ac:dyDescent="0.25">
      <c r="A13" s="46" t="s">
        <v>278</v>
      </c>
      <c r="B13" s="157"/>
      <c r="C13" s="157"/>
    </row>
    <row r="14" spans="1:3" hidden="1" x14ac:dyDescent="0.25">
      <c r="A14" s="46" t="s">
        <v>677</v>
      </c>
      <c r="B14" s="157"/>
      <c r="C14" s="157"/>
    </row>
    <row r="15" spans="1:3" hidden="1" x14ac:dyDescent="0.25">
      <c r="A15" s="46" t="s">
        <v>294</v>
      </c>
      <c r="B15" s="157"/>
      <c r="C15" s="157"/>
    </row>
    <row r="16" spans="1:3" hidden="1" x14ac:dyDescent="0.25">
      <c r="A16" s="46" t="s">
        <v>294</v>
      </c>
      <c r="B16" s="157"/>
      <c r="C16" s="157"/>
    </row>
    <row r="17" spans="1:3" x14ac:dyDescent="0.25">
      <c r="A17" s="55" t="s">
        <v>578</v>
      </c>
      <c r="B17" s="157">
        <v>11035</v>
      </c>
      <c r="C17" s="157">
        <v>35243</v>
      </c>
    </row>
    <row r="18" spans="1:3" x14ac:dyDescent="0.25">
      <c r="A18" s="56" t="s">
        <v>28</v>
      </c>
      <c r="B18" s="83">
        <f>SUM(B6:B17)</f>
        <v>52529</v>
      </c>
      <c r="C18" s="83">
        <f>SUM(C6:C17)</f>
        <v>82205</v>
      </c>
    </row>
    <row r="19" spans="1:3" x14ac:dyDescent="0.25">
      <c r="A19" s="58"/>
      <c r="B19" s="311">
        <f>B18-RZiS!D22</f>
        <v>0</v>
      </c>
      <c r="C19" s="311">
        <f>C18-RZiS!E22</f>
        <v>0</v>
      </c>
    </row>
    <row r="20" spans="1:3" x14ac:dyDescent="0.25">
      <c r="A20" s="58"/>
      <c r="B20" s="342"/>
      <c r="C20" s="342"/>
    </row>
    <row r="21" spans="1:3" x14ac:dyDescent="0.25">
      <c r="A21" s="52"/>
      <c r="B21" s="383"/>
      <c r="C21" s="383"/>
    </row>
    <row r="22" spans="1:3" x14ac:dyDescent="0.25">
      <c r="A22" s="73" t="s">
        <v>576</v>
      </c>
      <c r="B22" s="345" t="str">
        <f>B5</f>
        <v>01.01.2018-31.12.2018</v>
      </c>
      <c r="C22" s="345" t="str">
        <f>C5</f>
        <v>01.01.2017-31.12.2017</v>
      </c>
    </row>
    <row r="23" spans="1:3" x14ac:dyDescent="0.25">
      <c r="A23" s="46" t="s">
        <v>279</v>
      </c>
      <c r="B23" s="157">
        <v>8522</v>
      </c>
      <c r="C23" s="157">
        <v>5450</v>
      </c>
    </row>
    <row r="24" spans="1:3" hidden="1" x14ac:dyDescent="0.25">
      <c r="A24" s="46" t="s">
        <v>280</v>
      </c>
      <c r="B24" s="157"/>
      <c r="C24" s="157"/>
    </row>
    <row r="25" spans="1:3" ht="21" hidden="1" x14ac:dyDescent="0.25">
      <c r="A25" s="46" t="s">
        <v>281</v>
      </c>
      <c r="B25" s="157"/>
      <c r="C25" s="157"/>
    </row>
    <row r="26" spans="1:3" ht="21" hidden="1" x14ac:dyDescent="0.25">
      <c r="A26" s="46" t="s">
        <v>282</v>
      </c>
      <c r="B26" s="157"/>
      <c r="C26" s="157"/>
    </row>
    <row r="27" spans="1:3" hidden="1" x14ac:dyDescent="0.25">
      <c r="A27" s="46" t="s">
        <v>278</v>
      </c>
      <c r="B27" s="157"/>
      <c r="C27" s="157"/>
    </row>
    <row r="28" spans="1:3" hidden="1" x14ac:dyDescent="0.25">
      <c r="A28" s="46" t="s">
        <v>283</v>
      </c>
      <c r="B28" s="157"/>
      <c r="C28" s="157"/>
    </row>
    <row r="29" spans="1:3" x14ac:dyDescent="0.25">
      <c r="A29" s="46" t="s">
        <v>284</v>
      </c>
      <c r="B29" s="157">
        <v>178883</v>
      </c>
      <c r="C29" s="157">
        <v>127187</v>
      </c>
    </row>
    <row r="30" spans="1:3" hidden="1" x14ac:dyDescent="0.25">
      <c r="A30" s="46" t="s">
        <v>294</v>
      </c>
      <c r="B30" s="157"/>
      <c r="C30" s="157"/>
    </row>
    <row r="31" spans="1:3" hidden="1" x14ac:dyDescent="0.25">
      <c r="A31" s="46" t="s">
        <v>294</v>
      </c>
      <c r="B31" s="157"/>
      <c r="C31" s="157"/>
    </row>
    <row r="32" spans="1:3" hidden="1" x14ac:dyDescent="0.25">
      <c r="A32" s="46" t="s">
        <v>294</v>
      </c>
      <c r="B32" s="157"/>
      <c r="C32" s="157"/>
    </row>
    <row r="33" spans="1:3" x14ac:dyDescent="0.25">
      <c r="A33" s="72" t="s">
        <v>578</v>
      </c>
      <c r="B33" s="157">
        <v>25015</v>
      </c>
      <c r="C33" s="435">
        <v>72329</v>
      </c>
    </row>
    <row r="34" spans="1:3" x14ac:dyDescent="0.25">
      <c r="A34" s="56" t="s">
        <v>28</v>
      </c>
      <c r="B34" s="158">
        <f>SUM(B23:B33)</f>
        <v>212420</v>
      </c>
      <c r="C34" s="158">
        <f>SUM(C23:C33)</f>
        <v>204966</v>
      </c>
    </row>
    <row r="35" spans="1:3" x14ac:dyDescent="0.25">
      <c r="B35" s="311">
        <f>B34-RZiS!D23</f>
        <v>0</v>
      </c>
      <c r="C35" s="311">
        <f>C34-RZiS!E23</f>
        <v>0</v>
      </c>
    </row>
  </sheetData>
  <phoneticPr fontId="28" type="noConversion"/>
  <pageMargins left="0.7" right="0.7" top="0.75" bottom="0.75" header="0.3" footer="0.3"/>
  <pageSetup paperSize="9"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B1:H101"/>
  <sheetViews>
    <sheetView showGridLines="0" view="pageBreakPreview" zoomScaleNormal="100" zoomScaleSheetLayoutView="100" workbookViewId="0">
      <selection activeCell="A43" sqref="A43:XFD48"/>
    </sheetView>
  </sheetViews>
  <sheetFormatPr defaultColWidth="9.21875" defaultRowHeight="13.2" x14ac:dyDescent="0.25"/>
  <cols>
    <col min="1" max="1" width="3.21875" customWidth="1"/>
    <col min="2" max="2" width="45" bestFit="1" customWidth="1"/>
    <col min="3" max="4" width="14" style="343" customWidth="1"/>
    <col min="5" max="5" width="14.44140625" customWidth="1"/>
    <col min="6" max="8" width="10.5546875" customWidth="1"/>
    <col min="9" max="9" width="15.21875" customWidth="1"/>
  </cols>
  <sheetData>
    <row r="1" spans="2:7" x14ac:dyDescent="0.25">
      <c r="B1" s="38"/>
    </row>
    <row r="2" spans="2:7" x14ac:dyDescent="0.25">
      <c r="C2" s="248"/>
      <c r="D2" s="248"/>
      <c r="E2" s="1"/>
      <c r="F2" s="1"/>
      <c r="G2" s="1"/>
    </row>
    <row r="3" spans="2:7" x14ac:dyDescent="0.25">
      <c r="B3" s="412" t="s">
        <v>623</v>
      </c>
      <c r="C3" s="248"/>
      <c r="D3" s="248"/>
      <c r="E3" s="1"/>
      <c r="F3" s="1"/>
      <c r="G3" s="1"/>
    </row>
    <row r="4" spans="2:7" x14ac:dyDescent="0.25">
      <c r="B4" s="3"/>
      <c r="C4" s="248"/>
      <c r="D4" s="248"/>
      <c r="E4" s="1"/>
      <c r="F4" s="1"/>
      <c r="G4" s="1"/>
    </row>
    <row r="5" spans="2:7" ht="20.399999999999999" x14ac:dyDescent="0.25">
      <c r="B5" s="118" t="s">
        <v>445</v>
      </c>
      <c r="C5" s="341" t="str">
        <f>'Dane podstawowe'!B7</f>
        <v>01.01.2018-31.12.2018</v>
      </c>
      <c r="D5" s="341" t="str">
        <f>'Dane podstawowe'!B12</f>
        <v>01.01.2017-31.12.2017</v>
      </c>
      <c r="E5" s="1"/>
      <c r="F5" s="1"/>
    </row>
    <row r="6" spans="2:7" x14ac:dyDescent="0.25">
      <c r="B6" s="56" t="s">
        <v>40</v>
      </c>
      <c r="C6" s="80">
        <f>SUM(C7:C8)</f>
        <v>583967</v>
      </c>
      <c r="D6" s="80">
        <f>SUM(D7:D8)</f>
        <v>1032602</v>
      </c>
      <c r="E6" s="1"/>
      <c r="F6" s="1"/>
    </row>
    <row r="7" spans="2:7" x14ac:dyDescent="0.25">
      <c r="B7" s="55" t="s">
        <v>237</v>
      </c>
      <c r="C7" s="119">
        <v>583967</v>
      </c>
      <c r="D7" s="119">
        <v>1030155</v>
      </c>
      <c r="E7" s="1"/>
      <c r="F7" s="1"/>
    </row>
    <row r="8" spans="2:7" x14ac:dyDescent="0.25">
      <c r="B8" s="55" t="s">
        <v>238</v>
      </c>
      <c r="C8" s="548">
        <v>0</v>
      </c>
      <c r="D8" s="81">
        <v>2447</v>
      </c>
      <c r="E8" s="1"/>
      <c r="F8" s="1"/>
    </row>
    <row r="9" spans="2:7" x14ac:dyDescent="0.25">
      <c r="B9" s="56" t="s">
        <v>41</v>
      </c>
      <c r="C9" s="549">
        <f>SUM(C10:C11)</f>
        <v>378509</v>
      </c>
      <c r="D9" s="80">
        <f>SUM(D10:D11)</f>
        <v>332765</v>
      </c>
      <c r="E9" s="1"/>
      <c r="F9" s="1"/>
    </row>
    <row r="10" spans="2:7" x14ac:dyDescent="0.25">
      <c r="B10" s="55" t="s">
        <v>42</v>
      </c>
      <c r="C10" s="548">
        <f>104020+81343-45670+71345+161533+5938</f>
        <v>378509</v>
      </c>
      <c r="D10" s="81">
        <v>332765</v>
      </c>
      <c r="E10" s="1"/>
      <c r="F10" s="1"/>
    </row>
    <row r="11" spans="2:7" x14ac:dyDescent="0.25">
      <c r="B11" s="55" t="s">
        <v>322</v>
      </c>
      <c r="C11" s="548">
        <v>0</v>
      </c>
      <c r="D11" s="81">
        <v>0</v>
      </c>
      <c r="E11" s="1"/>
      <c r="F11" s="1"/>
    </row>
    <row r="12" spans="2:7" ht="20.399999999999999" x14ac:dyDescent="0.25">
      <c r="B12" s="56" t="s">
        <v>43</v>
      </c>
      <c r="C12" s="83">
        <f>SUM(C6,C9)</f>
        <v>962476</v>
      </c>
      <c r="D12" s="83">
        <f>SUM(D6,D9)</f>
        <v>1365367</v>
      </c>
      <c r="E12" s="1"/>
      <c r="F12" s="1"/>
    </row>
    <row r="13" spans="2:7" x14ac:dyDescent="0.25">
      <c r="B13" s="12"/>
      <c r="C13" s="311">
        <f>RZiS!D27-'NOTA 6 - Podatek '!C12</f>
        <v>0</v>
      </c>
      <c r="D13" s="311">
        <f>RZiS!E27-'NOTA 6 - Podatek '!D12</f>
        <v>0</v>
      </c>
      <c r="E13" s="1"/>
      <c r="F13" s="1"/>
    </row>
    <row r="14" spans="2:7" x14ac:dyDescent="0.25">
      <c r="B14" s="12"/>
      <c r="C14" s="246"/>
      <c r="D14" s="246"/>
      <c r="E14" s="1"/>
      <c r="F14" s="1"/>
    </row>
    <row r="15" spans="2:7" x14ac:dyDescent="0.25">
      <c r="B15" s="74"/>
      <c r="C15" s="346"/>
      <c r="D15" s="346"/>
      <c r="E15" s="11"/>
      <c r="F15" s="11"/>
    </row>
    <row r="16" spans="2:7" ht="20.399999999999999" x14ac:dyDescent="0.25">
      <c r="B16" s="74" t="s">
        <v>896</v>
      </c>
      <c r="C16" s="346"/>
      <c r="D16" s="346"/>
      <c r="E16" s="11"/>
      <c r="F16" s="11"/>
    </row>
    <row r="17" spans="2:6" s="31" customFormat="1" ht="20.399999999999999" x14ac:dyDescent="0.25">
      <c r="B17" s="73" t="s">
        <v>40</v>
      </c>
      <c r="C17" s="341" t="str">
        <f>C5</f>
        <v>01.01.2018-31.12.2018</v>
      </c>
      <c r="D17" s="341" t="str">
        <f>D5</f>
        <v>01.01.2017-31.12.2017</v>
      </c>
      <c r="E17" s="11"/>
      <c r="F17" s="11"/>
    </row>
    <row r="18" spans="2:6" x14ac:dyDescent="0.25">
      <c r="B18" s="50" t="s">
        <v>285</v>
      </c>
      <c r="C18" s="45">
        <f>3461327+19091+966864-264484</f>
        <v>4182798</v>
      </c>
      <c r="D18" s="45">
        <v>6150923</v>
      </c>
      <c r="E18" s="11"/>
      <c r="F18" s="11"/>
    </row>
    <row r="19" spans="2:6" x14ac:dyDescent="0.25">
      <c r="B19" s="46" t="s">
        <v>882</v>
      </c>
      <c r="C19" s="78">
        <v>0</v>
      </c>
      <c r="D19" s="78">
        <v>151</v>
      </c>
      <c r="E19" s="11"/>
      <c r="F19" s="11"/>
    </row>
    <row r="20" spans="2:6" x14ac:dyDescent="0.25">
      <c r="B20" s="46" t="s">
        <v>286</v>
      </c>
      <c r="C20" s="78">
        <f>39410+26586</f>
        <v>65996</v>
      </c>
      <c r="D20" s="78">
        <v>166645</v>
      </c>
      <c r="E20" s="11"/>
      <c r="F20" s="11"/>
    </row>
    <row r="21" spans="2:6" x14ac:dyDescent="0.25">
      <c r="B21" s="46" t="s">
        <v>883</v>
      </c>
      <c r="C21" s="78">
        <f>785161+1301742</f>
        <v>2086903</v>
      </c>
      <c r="D21" s="78">
        <v>1091511</v>
      </c>
      <c r="E21" s="11"/>
      <c r="F21" s="11"/>
    </row>
    <row r="22" spans="2:6" x14ac:dyDescent="0.25">
      <c r="B22" s="46" t="s">
        <v>287</v>
      </c>
      <c r="C22" s="78">
        <f>681432+529430</f>
        <v>1210862</v>
      </c>
      <c r="D22" s="78">
        <v>1056764</v>
      </c>
      <c r="E22" s="11"/>
      <c r="F22" s="11"/>
    </row>
    <row r="23" spans="2:6" x14ac:dyDescent="0.25">
      <c r="B23" s="40" t="s">
        <v>288</v>
      </c>
      <c r="C23" s="45">
        <f>C18-C20-C21+C22+C19</f>
        <v>3240761</v>
      </c>
      <c r="D23" s="45">
        <f>D18-D20-D21+D22+D19</f>
        <v>5949682</v>
      </c>
      <c r="E23" s="11"/>
      <c r="F23" s="11"/>
    </row>
    <row r="24" spans="2:6" x14ac:dyDescent="0.25">
      <c r="B24" s="46" t="s">
        <v>884</v>
      </c>
      <c r="C24" s="78">
        <f>244682+167966</f>
        <v>412648</v>
      </c>
      <c r="D24" s="78">
        <v>274913</v>
      </c>
      <c r="E24" s="11"/>
      <c r="F24" s="11"/>
    </row>
    <row r="25" spans="2:6" x14ac:dyDescent="0.25">
      <c r="B25" s="46" t="s">
        <v>665</v>
      </c>
      <c r="C25" s="78">
        <v>-245393</v>
      </c>
      <c r="D25" s="78">
        <v>252903</v>
      </c>
      <c r="E25" s="11"/>
      <c r="F25" s="11"/>
    </row>
    <row r="26" spans="2:6" x14ac:dyDescent="0.25">
      <c r="B26" s="40" t="s">
        <v>289</v>
      </c>
      <c r="C26" s="45">
        <f>C23-C24-C25</f>
        <v>3073506</v>
      </c>
      <c r="D26" s="45">
        <f>D23-D24-D25</f>
        <v>5421866</v>
      </c>
      <c r="E26" s="11"/>
      <c r="F26" s="11"/>
    </row>
    <row r="27" spans="2:6" x14ac:dyDescent="0.25">
      <c r="B27" s="46" t="s">
        <v>290</v>
      </c>
      <c r="C27" s="78">
        <f>19%*C26+1</f>
        <v>583967.14</v>
      </c>
      <c r="D27" s="78">
        <f>D26*19%</f>
        <v>1030154.54</v>
      </c>
      <c r="E27" s="11"/>
      <c r="F27" s="11"/>
    </row>
    <row r="28" spans="2:6" ht="31.2" x14ac:dyDescent="0.25">
      <c r="B28" s="50" t="s">
        <v>645</v>
      </c>
      <c r="C28" s="451">
        <f>C12/C18</f>
        <v>0.23010339012307074</v>
      </c>
      <c r="D28" s="451">
        <f>D12/D18</f>
        <v>0.22197757962504164</v>
      </c>
      <c r="E28" s="11"/>
      <c r="F28" s="11"/>
    </row>
    <row r="29" spans="2:6" ht="21" x14ac:dyDescent="0.25">
      <c r="B29" s="75" t="s">
        <v>897</v>
      </c>
      <c r="C29" s="504"/>
      <c r="D29" s="504"/>
      <c r="E29" s="11"/>
      <c r="F29" s="11"/>
    </row>
    <row r="30" spans="2:6" ht="20.399999999999999" x14ac:dyDescent="0.25">
      <c r="B30" s="625" t="s">
        <v>40</v>
      </c>
      <c r="C30" s="627" t="s">
        <v>832</v>
      </c>
      <c r="D30" s="627" t="s">
        <v>775</v>
      </c>
      <c r="E30" s="11"/>
      <c r="F30" s="11"/>
    </row>
    <row r="31" spans="2:6" x14ac:dyDescent="0.25">
      <c r="B31" s="624" t="s">
        <v>285</v>
      </c>
      <c r="C31" s="622">
        <v>-2703326</v>
      </c>
      <c r="D31" s="629">
        <v>-1953906</v>
      </c>
      <c r="E31" s="11"/>
      <c r="F31" s="11"/>
    </row>
    <row r="32" spans="2:6" x14ac:dyDescent="0.25">
      <c r="B32" s="623" t="s">
        <v>882</v>
      </c>
      <c r="C32" s="626">
        <v>122586</v>
      </c>
      <c r="D32" s="628">
        <v>155953</v>
      </c>
      <c r="E32" s="11"/>
      <c r="F32" s="11"/>
    </row>
    <row r="33" spans="2:8" x14ac:dyDescent="0.25">
      <c r="B33" s="623" t="s">
        <v>286</v>
      </c>
      <c r="C33" s="626">
        <v>3402342</v>
      </c>
      <c r="D33" s="628">
        <v>1472601</v>
      </c>
      <c r="E33" s="11"/>
      <c r="F33" s="11"/>
    </row>
    <row r="34" spans="2:8" x14ac:dyDescent="0.25">
      <c r="B34" s="623" t="s">
        <v>883</v>
      </c>
      <c r="C34" s="626">
        <v>4183941</v>
      </c>
      <c r="D34" s="628">
        <v>1999005</v>
      </c>
      <c r="E34" s="11"/>
      <c r="F34" s="11"/>
    </row>
    <row r="35" spans="2:8" x14ac:dyDescent="0.25">
      <c r="B35" s="623" t="s">
        <v>287</v>
      </c>
      <c r="C35" s="626">
        <v>2012415</v>
      </c>
      <c r="D35" s="628">
        <v>1400720</v>
      </c>
      <c r="E35" s="11"/>
      <c r="F35" s="11"/>
    </row>
    <row r="36" spans="2:8" x14ac:dyDescent="0.25">
      <c r="B36" s="621" t="s">
        <v>288</v>
      </c>
      <c r="C36" s="622">
        <v>-8154608</v>
      </c>
      <c r="D36" s="629">
        <v>-3868839</v>
      </c>
      <c r="E36" s="11"/>
      <c r="F36" s="11"/>
    </row>
    <row r="37" spans="2:8" x14ac:dyDescent="0.25">
      <c r="B37" s="623" t="s">
        <v>884</v>
      </c>
      <c r="C37" s="626">
        <v>0</v>
      </c>
      <c r="D37" s="628">
        <v>0</v>
      </c>
      <c r="E37" s="11"/>
      <c r="F37" s="11"/>
    </row>
    <row r="38" spans="2:8" x14ac:dyDescent="0.25">
      <c r="B38" s="623" t="s">
        <v>665</v>
      </c>
      <c r="C38" s="626">
        <v>-3019742</v>
      </c>
      <c r="D38" s="628">
        <v>0</v>
      </c>
      <c r="E38" s="11"/>
      <c r="F38" s="11"/>
    </row>
    <row r="39" spans="2:8" x14ac:dyDescent="0.25">
      <c r="B39" s="621" t="s">
        <v>289</v>
      </c>
      <c r="C39" s="622">
        <v>-5134866</v>
      </c>
      <c r="D39" s="629">
        <v>-3868839</v>
      </c>
      <c r="E39" s="11"/>
      <c r="F39" s="11"/>
    </row>
    <row r="40" spans="2:8" x14ac:dyDescent="0.25">
      <c r="B40" s="623" t="s">
        <v>290</v>
      </c>
      <c r="C40" s="626">
        <v>0</v>
      </c>
      <c r="D40" s="626">
        <v>0</v>
      </c>
      <c r="E40" s="11"/>
      <c r="F40" s="11"/>
    </row>
    <row r="41" spans="2:8" ht="31.2" x14ac:dyDescent="0.25">
      <c r="B41" s="624" t="s">
        <v>645</v>
      </c>
      <c r="C41" s="630">
        <v>0</v>
      </c>
      <c r="D41" s="630">
        <v>0</v>
      </c>
      <c r="E41" s="11"/>
      <c r="F41" s="11"/>
    </row>
    <row r="42" spans="2:8" x14ac:dyDescent="0.25">
      <c r="B42" s="75"/>
      <c r="C42" s="504"/>
      <c r="D42" s="504"/>
      <c r="E42" s="11"/>
      <c r="F42" s="11"/>
    </row>
    <row r="43" spans="2:8" x14ac:dyDescent="0.25">
      <c r="B43" s="75"/>
      <c r="C43" s="347"/>
      <c r="D43" s="347"/>
      <c r="E43" s="11"/>
      <c r="F43" s="11"/>
      <c r="G43" s="11"/>
    </row>
    <row r="44" spans="2:8" x14ac:dyDescent="0.25">
      <c r="B44" s="75"/>
      <c r="C44" s="347"/>
      <c r="D44" s="347"/>
      <c r="E44" s="11"/>
      <c r="F44" s="11"/>
      <c r="G44" s="11"/>
    </row>
    <row r="45" spans="2:8" s="31" customFormat="1" ht="20.399999999999999" x14ac:dyDescent="0.25">
      <c r="B45" s="608" t="s">
        <v>469</v>
      </c>
      <c r="C45" s="609">
        <v>43100</v>
      </c>
      <c r="D45" s="609" t="s">
        <v>885</v>
      </c>
      <c r="E45" s="609">
        <v>43101</v>
      </c>
      <c r="F45" s="610" t="s">
        <v>239</v>
      </c>
      <c r="G45" s="610" t="s">
        <v>240</v>
      </c>
      <c r="H45" s="609">
        <v>43465</v>
      </c>
    </row>
    <row r="46" spans="2:8" x14ac:dyDescent="0.25">
      <c r="B46" s="615" t="s">
        <v>323</v>
      </c>
      <c r="C46" s="616">
        <v>4601</v>
      </c>
      <c r="D46" s="616">
        <v>0</v>
      </c>
      <c r="E46" s="616">
        <f>C46+D46</f>
        <v>4601</v>
      </c>
      <c r="F46" s="616">
        <v>4279</v>
      </c>
      <c r="G46" s="616">
        <v>4601</v>
      </c>
      <c r="H46" s="616">
        <f>E46+F46-G46</f>
        <v>4279</v>
      </c>
    </row>
    <row r="47" spans="2:8" x14ac:dyDescent="0.25">
      <c r="B47" s="614" t="s">
        <v>324</v>
      </c>
      <c r="C47" s="616">
        <v>328996</v>
      </c>
      <c r="D47" s="616">
        <v>41440</v>
      </c>
      <c r="E47" s="616">
        <f t="shared" ref="E47:E58" si="0">C47+D47</f>
        <v>370436</v>
      </c>
      <c r="F47" s="616">
        <v>149788</v>
      </c>
      <c r="G47" s="616">
        <v>376485</v>
      </c>
      <c r="H47" s="616">
        <f t="shared" ref="H47:H58" si="1">E47+F47-G47</f>
        <v>143739</v>
      </c>
    </row>
    <row r="48" spans="2:8" x14ac:dyDescent="0.25">
      <c r="B48" s="614" t="s">
        <v>695</v>
      </c>
      <c r="C48" s="616">
        <v>29000</v>
      </c>
      <c r="D48" s="616">
        <v>12000</v>
      </c>
      <c r="E48" s="616">
        <f t="shared" si="0"/>
        <v>41000</v>
      </c>
      <c r="F48" s="616">
        <v>73500</v>
      </c>
      <c r="G48" s="616">
        <v>57000</v>
      </c>
      <c r="H48" s="616">
        <f t="shared" si="1"/>
        <v>57500</v>
      </c>
    </row>
    <row r="49" spans="2:8" x14ac:dyDescent="0.25">
      <c r="B49" s="614" t="s">
        <v>325</v>
      </c>
      <c r="C49" s="616">
        <v>0</v>
      </c>
      <c r="D49" s="616">
        <v>648473</v>
      </c>
      <c r="E49" s="616">
        <f t="shared" si="0"/>
        <v>648473</v>
      </c>
      <c r="F49" s="616">
        <v>1573635</v>
      </c>
      <c r="G49" s="616">
        <v>1575088</v>
      </c>
      <c r="H49" s="616">
        <f t="shared" si="1"/>
        <v>647020</v>
      </c>
    </row>
    <row r="50" spans="2:8" x14ac:dyDescent="0.25">
      <c r="B50" s="615" t="s">
        <v>31</v>
      </c>
      <c r="C50" s="616">
        <v>15813</v>
      </c>
      <c r="D50" s="616">
        <v>0</v>
      </c>
      <c r="E50" s="616">
        <f t="shared" si="0"/>
        <v>15813</v>
      </c>
      <c r="F50" s="616">
        <v>4000</v>
      </c>
      <c r="G50" s="616">
        <v>15813</v>
      </c>
      <c r="H50" s="616">
        <f t="shared" si="1"/>
        <v>4000</v>
      </c>
    </row>
    <row r="51" spans="2:8" x14ac:dyDescent="0.25">
      <c r="B51" s="618" t="s">
        <v>701</v>
      </c>
      <c r="C51" s="617">
        <v>7934</v>
      </c>
      <c r="D51" s="617">
        <v>0</v>
      </c>
      <c r="E51" s="617">
        <f t="shared" si="0"/>
        <v>7934</v>
      </c>
      <c r="F51" s="617">
        <v>20728</v>
      </c>
      <c r="G51" s="619">
        <v>28662</v>
      </c>
      <c r="H51" s="617">
        <f t="shared" si="1"/>
        <v>0</v>
      </c>
    </row>
    <row r="52" spans="2:8" x14ac:dyDescent="0.25">
      <c r="B52" s="614" t="s">
        <v>497</v>
      </c>
      <c r="C52" s="616">
        <v>741511</v>
      </c>
      <c r="D52" s="616">
        <v>75982</v>
      </c>
      <c r="E52" s="616">
        <f t="shared" si="0"/>
        <v>817493</v>
      </c>
      <c r="F52" s="616">
        <v>474110</v>
      </c>
      <c r="G52" s="616">
        <v>329451</v>
      </c>
      <c r="H52" s="616">
        <f t="shared" si="1"/>
        <v>962152</v>
      </c>
    </row>
    <row r="53" spans="2:8" x14ac:dyDescent="0.25">
      <c r="B53" s="614" t="s">
        <v>326</v>
      </c>
      <c r="C53" s="616">
        <v>127187</v>
      </c>
      <c r="D53" s="616"/>
      <c r="E53" s="616">
        <f t="shared" si="0"/>
        <v>127187</v>
      </c>
      <c r="F53" s="616">
        <v>0</v>
      </c>
      <c r="G53" s="616">
        <v>22112</v>
      </c>
      <c r="H53" s="616">
        <f t="shared" si="1"/>
        <v>105075</v>
      </c>
    </row>
    <row r="54" spans="2:8" x14ac:dyDescent="0.25">
      <c r="B54" s="614" t="s">
        <v>691</v>
      </c>
      <c r="C54" s="616">
        <v>0</v>
      </c>
      <c r="D54" s="616">
        <v>0</v>
      </c>
      <c r="E54" s="616">
        <f t="shared" si="0"/>
        <v>0</v>
      </c>
      <c r="F54" s="616">
        <v>202746</v>
      </c>
      <c r="G54" s="616">
        <v>0</v>
      </c>
      <c r="H54" s="616">
        <f t="shared" si="1"/>
        <v>202746</v>
      </c>
    </row>
    <row r="55" spans="2:8" s="612" customFormat="1" ht="21" x14ac:dyDescent="0.25">
      <c r="B55" s="614" t="s">
        <v>341</v>
      </c>
      <c r="C55" s="616">
        <v>479204</v>
      </c>
      <c r="D55" s="616">
        <v>145695</v>
      </c>
      <c r="E55" s="616">
        <f t="shared" si="0"/>
        <v>624899</v>
      </c>
      <c r="F55" s="616">
        <v>876204</v>
      </c>
      <c r="G55" s="616">
        <v>736549</v>
      </c>
      <c r="H55" s="616">
        <f t="shared" si="1"/>
        <v>764554</v>
      </c>
    </row>
    <row r="56" spans="2:8" s="612" customFormat="1" x14ac:dyDescent="0.25">
      <c r="B56" s="614" t="s">
        <v>955</v>
      </c>
      <c r="C56" s="616">
        <v>0</v>
      </c>
      <c r="D56" s="616">
        <v>0</v>
      </c>
      <c r="E56" s="616">
        <f t="shared" si="0"/>
        <v>0</v>
      </c>
      <c r="F56" s="616">
        <v>62265</v>
      </c>
      <c r="G56" s="616">
        <v>0</v>
      </c>
      <c r="H56" s="616">
        <f t="shared" si="1"/>
        <v>62265</v>
      </c>
    </row>
    <row r="57" spans="2:8" s="612" customFormat="1" x14ac:dyDescent="0.25">
      <c r="B57" s="614" t="s">
        <v>959</v>
      </c>
      <c r="C57" s="616"/>
      <c r="D57" s="616">
        <v>2388665</v>
      </c>
      <c r="E57" s="616">
        <f t="shared" si="0"/>
        <v>2388665</v>
      </c>
      <c r="F57" s="616"/>
      <c r="G57" s="616">
        <f>1665411+143781+178299</f>
        <v>1987491</v>
      </c>
      <c r="H57" s="616">
        <f t="shared" si="1"/>
        <v>401174</v>
      </c>
    </row>
    <row r="58" spans="2:8" s="612" customFormat="1" x14ac:dyDescent="0.25">
      <c r="B58" s="614" t="s">
        <v>578</v>
      </c>
      <c r="C58" s="616">
        <v>5109</v>
      </c>
      <c r="D58" s="616">
        <v>0</v>
      </c>
      <c r="E58" s="616">
        <f t="shared" si="0"/>
        <v>5109</v>
      </c>
      <c r="F58" s="616">
        <v>0</v>
      </c>
      <c r="G58" s="616">
        <v>1465</v>
      </c>
      <c r="H58" s="616">
        <f t="shared" si="1"/>
        <v>3644</v>
      </c>
    </row>
    <row r="59" spans="2:8" x14ac:dyDescent="0.25">
      <c r="B59" s="589" t="s">
        <v>241</v>
      </c>
      <c r="C59" s="45">
        <f t="shared" ref="C59:H59" si="2">SUM(C46:C58)</f>
        <v>1739355</v>
      </c>
      <c r="D59" s="45">
        <f t="shared" si="2"/>
        <v>3312255</v>
      </c>
      <c r="E59" s="45">
        <f t="shared" si="2"/>
        <v>5051610</v>
      </c>
      <c r="F59" s="45">
        <f t="shared" si="2"/>
        <v>3441255</v>
      </c>
      <c r="G59" s="45">
        <f t="shared" si="2"/>
        <v>5134717</v>
      </c>
      <c r="H59" s="45">
        <f t="shared" si="2"/>
        <v>3358148</v>
      </c>
    </row>
    <row r="60" spans="2:8" x14ac:dyDescent="0.25">
      <c r="B60" s="590" t="s">
        <v>242</v>
      </c>
      <c r="C60" s="371">
        <v>0.19</v>
      </c>
      <c r="D60" s="371">
        <v>0.19</v>
      </c>
      <c r="E60" s="371">
        <v>0.19</v>
      </c>
      <c r="F60" s="371">
        <v>0.19</v>
      </c>
      <c r="G60" s="371">
        <v>0.19</v>
      </c>
      <c r="H60" s="371">
        <v>0.19</v>
      </c>
    </row>
    <row r="61" spans="2:8" x14ac:dyDescent="0.25">
      <c r="B61" s="589" t="s">
        <v>243</v>
      </c>
      <c r="C61" s="45">
        <f>C59*C60</f>
        <v>330477.45</v>
      </c>
      <c r="D61" s="45">
        <f t="shared" ref="D61:G61" si="3">D59*D60</f>
        <v>629328.44999999995</v>
      </c>
      <c r="E61" s="45">
        <f t="shared" si="3"/>
        <v>959805.9</v>
      </c>
      <c r="F61" s="45">
        <f t="shared" si="3"/>
        <v>653838.44999999995</v>
      </c>
      <c r="G61" s="45">
        <f t="shared" si="3"/>
        <v>975596.23</v>
      </c>
      <c r="H61" s="45">
        <f>H59*H60</f>
        <v>638048.12</v>
      </c>
    </row>
    <row r="62" spans="2:8" x14ac:dyDescent="0.25">
      <c r="B62" s="590" t="s">
        <v>956</v>
      </c>
      <c r="C62" s="327">
        <v>0</v>
      </c>
      <c r="D62" s="209">
        <v>562288</v>
      </c>
      <c r="E62" s="327">
        <v>0</v>
      </c>
      <c r="F62" s="327">
        <v>0</v>
      </c>
      <c r="G62" s="209">
        <v>187907</v>
      </c>
      <c r="H62" s="78">
        <v>187907</v>
      </c>
    </row>
    <row r="63" spans="2:8" x14ac:dyDescent="0.25">
      <c r="B63" s="589" t="s">
        <v>243</v>
      </c>
      <c r="C63" s="45">
        <f>C61-C62</f>
        <v>330477.45</v>
      </c>
      <c r="D63" s="45">
        <f t="shared" ref="D63:G63" si="4">D61-D62</f>
        <v>67040.449999999953</v>
      </c>
      <c r="E63" s="45">
        <f t="shared" si="4"/>
        <v>959805.9</v>
      </c>
      <c r="F63" s="45">
        <f t="shared" si="4"/>
        <v>653838.44999999995</v>
      </c>
      <c r="G63" s="45">
        <f t="shared" si="4"/>
        <v>787689.23</v>
      </c>
      <c r="H63" s="45">
        <f>H61-H62</f>
        <v>450141.12</v>
      </c>
    </row>
    <row r="64" spans="2:8" hidden="1" x14ac:dyDescent="0.25">
      <c r="B64" s="46"/>
      <c r="C64" s="78"/>
      <c r="D64" s="78"/>
      <c r="E64" s="78"/>
      <c r="F64" s="78"/>
      <c r="G64" s="11"/>
    </row>
    <row r="65" spans="2:8" hidden="1" x14ac:dyDescent="0.25">
      <c r="B65" s="46"/>
      <c r="C65" s="78"/>
      <c r="D65" s="78"/>
      <c r="E65" s="78"/>
      <c r="F65" s="78"/>
      <c r="G65" s="11"/>
    </row>
    <row r="66" spans="2:8" hidden="1" x14ac:dyDescent="0.25">
      <c r="B66" s="50"/>
      <c r="C66" s="45"/>
      <c r="D66" s="45"/>
      <c r="E66" s="45"/>
      <c r="F66" s="45"/>
      <c r="G66" s="11"/>
    </row>
    <row r="67" spans="2:8" hidden="1" x14ac:dyDescent="0.25">
      <c r="B67" s="46"/>
      <c r="C67" s="371"/>
      <c r="D67" s="371"/>
      <c r="E67" s="371"/>
      <c r="F67" s="371"/>
      <c r="G67" s="11"/>
    </row>
    <row r="68" spans="2:8" hidden="1" x14ac:dyDescent="0.25">
      <c r="B68" s="50"/>
      <c r="C68" s="45"/>
      <c r="D68" s="45"/>
      <c r="E68" s="45"/>
      <c r="F68" s="45"/>
      <c r="G68" s="11"/>
    </row>
    <row r="69" spans="2:8" x14ac:dyDescent="0.25">
      <c r="B69" s="75"/>
      <c r="C69" s="324">
        <f>Aktywa!E13-'NOTA 6 - Podatek '!C63</f>
        <v>-0.45000000001164153</v>
      </c>
      <c r="D69" s="372"/>
      <c r="E69" s="372"/>
      <c r="G69" s="11"/>
      <c r="H69" s="324">
        <f>H63-Aktywa!D13</f>
        <v>0.11999999999534339</v>
      </c>
    </row>
    <row r="70" spans="2:8" x14ac:dyDescent="0.25">
      <c r="B70" s="75"/>
      <c r="C70" s="347"/>
      <c r="D70" s="347"/>
      <c r="E70" s="11"/>
      <c r="F70" s="11"/>
      <c r="G70" s="11"/>
    </row>
    <row r="71" spans="2:8" ht="20.399999999999999" x14ac:dyDescent="0.25">
      <c r="B71" s="73" t="s">
        <v>470</v>
      </c>
      <c r="C71" s="461">
        <v>43100</v>
      </c>
      <c r="D71" s="461" t="s">
        <v>885</v>
      </c>
      <c r="E71" s="461">
        <v>43101</v>
      </c>
      <c r="F71" s="341" t="s">
        <v>239</v>
      </c>
      <c r="G71" s="341" t="s">
        <v>240</v>
      </c>
      <c r="H71" s="461">
        <v>43465</v>
      </c>
    </row>
    <row r="72" spans="2:8" x14ac:dyDescent="0.25">
      <c r="B72" s="76" t="s">
        <v>44</v>
      </c>
      <c r="C72" s="78">
        <v>2216681</v>
      </c>
      <c r="D72" s="78">
        <v>5498</v>
      </c>
      <c r="E72" s="78">
        <f>C72+D72</f>
        <v>2222179</v>
      </c>
      <c r="F72" s="78">
        <v>3637311</v>
      </c>
      <c r="G72" s="78">
        <v>491380</v>
      </c>
      <c r="H72" s="78">
        <f>C72+F72-G72+D72</f>
        <v>5368110</v>
      </c>
    </row>
    <row r="73" spans="2:8" x14ac:dyDescent="0.25">
      <c r="B73" s="76" t="s">
        <v>30</v>
      </c>
      <c r="C73" s="78">
        <v>16052</v>
      </c>
      <c r="D73" s="78">
        <v>0</v>
      </c>
      <c r="E73" s="78">
        <f>C73+D73</f>
        <v>16052</v>
      </c>
      <c r="F73" s="78">
        <f>57195-28203</f>
        <v>28992</v>
      </c>
      <c r="G73" s="78">
        <v>6954</v>
      </c>
      <c r="H73" s="78">
        <f>C73+F73-G73</f>
        <v>38090</v>
      </c>
    </row>
    <row r="74" spans="2:8" x14ac:dyDescent="0.25">
      <c r="B74" s="76" t="s">
        <v>731</v>
      </c>
      <c r="C74" s="78">
        <v>29104</v>
      </c>
      <c r="D74" s="78">
        <f>32041</f>
        <v>32041</v>
      </c>
      <c r="E74" s="78">
        <f>C74+D74</f>
        <v>61145</v>
      </c>
      <c r="F74" s="595">
        <v>15</v>
      </c>
      <c r="G74" s="78">
        <f>40571+20574</f>
        <v>61145</v>
      </c>
      <c r="H74" s="78">
        <f>E74+F74-G74</f>
        <v>15</v>
      </c>
    </row>
    <row r="75" spans="2:8" x14ac:dyDescent="0.25">
      <c r="B75" s="76" t="s">
        <v>672</v>
      </c>
      <c r="C75" s="78">
        <v>1675370</v>
      </c>
      <c r="D75" s="78">
        <f>198600</f>
        <v>198600</v>
      </c>
      <c r="E75" s="78">
        <f>C75+D75</f>
        <v>1873970</v>
      </c>
      <c r="F75" s="78">
        <v>2886141</v>
      </c>
      <c r="G75" s="78">
        <v>3582243</v>
      </c>
      <c r="H75" s="78">
        <f>C75+F75-G75+D75</f>
        <v>1177868</v>
      </c>
    </row>
    <row r="76" spans="2:8" x14ac:dyDescent="0.25">
      <c r="B76" s="76" t="s">
        <v>494</v>
      </c>
      <c r="C76" s="78">
        <v>155253</v>
      </c>
      <c r="D76" s="78">
        <v>40154</v>
      </c>
      <c r="E76" s="78">
        <f>C76+D76</f>
        <v>195407</v>
      </c>
      <c r="F76" s="78">
        <v>15000</v>
      </c>
      <c r="G76" s="78">
        <v>195407</v>
      </c>
      <c r="H76" s="78">
        <f>C76+F76-G76+D76</f>
        <v>15000</v>
      </c>
    </row>
    <row r="77" spans="2:8" s="443" customFormat="1" ht="21" hidden="1" x14ac:dyDescent="0.25">
      <c r="B77" s="76" t="s">
        <v>45</v>
      </c>
      <c r="C77" s="596">
        <v>0</v>
      </c>
      <c r="D77" s="596">
        <v>0</v>
      </c>
      <c r="E77" s="78">
        <f t="shared" ref="E77:E78" si="5">C77+D77</f>
        <v>0</v>
      </c>
      <c r="F77" s="596">
        <v>0</v>
      </c>
      <c r="G77" s="596">
        <v>0</v>
      </c>
      <c r="H77" s="78">
        <f t="shared" ref="H77:H78" si="6">C77+F77-G77+D77</f>
        <v>0</v>
      </c>
    </row>
    <row r="78" spans="2:8" x14ac:dyDescent="0.25">
      <c r="B78" s="76" t="s">
        <v>578</v>
      </c>
      <c r="C78" s="596">
        <v>0</v>
      </c>
      <c r="D78" s="596">
        <f>175107+13960</f>
        <v>189067</v>
      </c>
      <c r="E78" s="78">
        <f t="shared" si="5"/>
        <v>189067</v>
      </c>
      <c r="F78" s="596">
        <v>75910</v>
      </c>
      <c r="G78" s="596">
        <f>12086+76184</f>
        <v>88270</v>
      </c>
      <c r="H78" s="78">
        <f t="shared" si="6"/>
        <v>176707</v>
      </c>
    </row>
    <row r="79" spans="2:8" x14ac:dyDescent="0.25">
      <c r="B79" s="589" t="s">
        <v>244</v>
      </c>
      <c r="C79" s="597">
        <f>SUM(C72:C78)</f>
        <v>4092460</v>
      </c>
      <c r="D79" s="597">
        <f>SUM(D72:D78)</f>
        <v>465360</v>
      </c>
      <c r="E79" s="597">
        <f>SUM(E72:E78)</f>
        <v>4557820</v>
      </c>
      <c r="F79" s="597">
        <f t="shared" ref="F79:G79" si="7">SUM(F72:F78)</f>
        <v>6643369</v>
      </c>
      <c r="G79" s="597">
        <f t="shared" si="7"/>
        <v>4425399</v>
      </c>
      <c r="H79" s="597">
        <f>SUM(H72:H78)</f>
        <v>6775790</v>
      </c>
    </row>
    <row r="80" spans="2:8" x14ac:dyDescent="0.25">
      <c r="B80" s="590" t="s">
        <v>242</v>
      </c>
      <c r="C80" s="598">
        <v>0.19</v>
      </c>
      <c r="D80" s="598">
        <v>0.19</v>
      </c>
      <c r="E80" s="598">
        <v>0.19</v>
      </c>
      <c r="F80" s="598">
        <v>0.19</v>
      </c>
      <c r="G80" s="598">
        <v>0.19</v>
      </c>
      <c r="H80" s="598">
        <v>0.19</v>
      </c>
    </row>
    <row r="81" spans="2:8" x14ac:dyDescent="0.25">
      <c r="B81" s="589" t="s">
        <v>245</v>
      </c>
      <c r="C81" s="599">
        <f>ROUND(C79*C80,0)</f>
        <v>777567</v>
      </c>
      <c r="D81" s="599">
        <f>ROUND(D79*D80,0)</f>
        <v>88418</v>
      </c>
      <c r="E81" s="599">
        <f>ROUND(E79*E80,0)</f>
        <v>865986</v>
      </c>
      <c r="F81" s="599">
        <v>548594</v>
      </c>
      <c r="G81" s="599">
        <f>ROUND(G79*G80,0)</f>
        <v>840826</v>
      </c>
      <c r="H81" s="599">
        <f>ROUND(H79*H80,0)</f>
        <v>1287400</v>
      </c>
    </row>
    <row r="82" spans="2:8" x14ac:dyDescent="0.25">
      <c r="B82" s="74"/>
      <c r="C82" s="324">
        <f>Pasywa!A17</f>
        <v>0</v>
      </c>
      <c r="D82" s="372"/>
      <c r="E82" s="372"/>
      <c r="F82" s="1"/>
      <c r="G82" s="11"/>
      <c r="H82" s="324">
        <f>H81-Pasywa!D17</f>
        <v>0</v>
      </c>
    </row>
    <row r="83" spans="2:8" x14ac:dyDescent="0.25">
      <c r="B83" s="75" t="s">
        <v>502</v>
      </c>
      <c r="C83" s="348"/>
      <c r="D83" s="348"/>
      <c r="E83" s="1"/>
      <c r="F83" s="1"/>
      <c r="G83" s="1"/>
    </row>
    <row r="84" spans="2:8" x14ac:dyDescent="0.25">
      <c r="B84" s="75"/>
      <c r="C84" s="348"/>
      <c r="D84" s="348"/>
      <c r="E84" s="1"/>
      <c r="F84" s="1"/>
      <c r="G84" s="1"/>
    </row>
    <row r="85" spans="2:8" x14ac:dyDescent="0.25">
      <c r="B85" s="103" t="s">
        <v>353</v>
      </c>
      <c r="C85" s="461">
        <f>Pasywa!D2</f>
        <v>43465</v>
      </c>
      <c r="D85" s="461">
        <f>Pasywa!E2</f>
        <v>43100</v>
      </c>
      <c r="E85" s="1"/>
      <c r="F85" s="1"/>
    </row>
    <row r="86" spans="2:8" x14ac:dyDescent="0.25">
      <c r="B86" s="86" t="s">
        <v>499</v>
      </c>
      <c r="C86" s="78">
        <v>450141</v>
      </c>
      <c r="D86" s="78">
        <v>330477</v>
      </c>
      <c r="E86" s="1"/>
      <c r="F86" s="1"/>
    </row>
    <row r="87" spans="2:8" ht="20.399999999999999" x14ac:dyDescent="0.25">
      <c r="B87" s="413" t="s">
        <v>500</v>
      </c>
      <c r="C87" s="78">
        <v>1287400</v>
      </c>
      <c r="D87" s="78">
        <v>777567</v>
      </c>
      <c r="E87" s="248"/>
      <c r="F87" s="1"/>
    </row>
    <row r="88" spans="2:8" x14ac:dyDescent="0.25">
      <c r="B88" s="413" t="s">
        <v>501</v>
      </c>
      <c r="C88" s="78">
        <v>0</v>
      </c>
      <c r="D88" s="78">
        <v>0</v>
      </c>
      <c r="E88" s="1"/>
      <c r="F88" s="1"/>
    </row>
    <row r="89" spans="2:8" x14ac:dyDescent="0.25">
      <c r="B89" s="50" t="s">
        <v>502</v>
      </c>
      <c r="C89" s="45">
        <f>C86-C87-C88</f>
        <v>-837259</v>
      </c>
      <c r="D89" s="45">
        <f>D86-D87-D88</f>
        <v>-447090</v>
      </c>
      <c r="E89" s="1"/>
      <c r="F89" s="1"/>
    </row>
    <row r="90" spans="2:8" x14ac:dyDescent="0.25">
      <c r="B90" s="37"/>
      <c r="C90" s="248"/>
      <c r="D90" s="248"/>
      <c r="E90" s="1"/>
      <c r="F90" s="1"/>
      <c r="G90" s="1"/>
    </row>
    <row r="91" spans="2:8" x14ac:dyDescent="0.25">
      <c r="B91" s="37"/>
      <c r="C91" s="248"/>
      <c r="D91" s="248"/>
      <c r="E91" s="1"/>
      <c r="F91" s="1"/>
      <c r="G91" s="1"/>
    </row>
    <row r="92" spans="2:8" x14ac:dyDescent="0.25">
      <c r="B92" s="37"/>
      <c r="C92" s="248"/>
      <c r="D92" s="248"/>
      <c r="E92" s="1"/>
      <c r="F92" s="1"/>
      <c r="G92" s="1"/>
    </row>
    <row r="93" spans="2:8" x14ac:dyDescent="0.25">
      <c r="B93" s="37"/>
      <c r="C93" s="248"/>
      <c r="D93" s="248"/>
      <c r="E93" s="1"/>
      <c r="F93" s="1"/>
      <c r="G93" s="1"/>
    </row>
    <row r="94" spans="2:8" x14ac:dyDescent="0.25">
      <c r="B94" s="37"/>
      <c r="C94" s="248"/>
      <c r="D94" s="248"/>
      <c r="E94" s="1"/>
      <c r="F94" s="1"/>
      <c r="G94" s="1"/>
    </row>
    <row r="95" spans="2:8" x14ac:dyDescent="0.25">
      <c r="B95" s="37"/>
      <c r="C95" s="248"/>
      <c r="D95" s="248"/>
      <c r="E95" s="1"/>
      <c r="F95" s="1"/>
      <c r="G95" s="1"/>
    </row>
    <row r="96" spans="2:8" x14ac:dyDescent="0.25">
      <c r="B96" s="37"/>
      <c r="C96" s="248"/>
      <c r="D96" s="248"/>
      <c r="E96" s="1"/>
      <c r="F96" s="1"/>
      <c r="G96" s="1"/>
    </row>
    <row r="97" spans="2:7" x14ac:dyDescent="0.25">
      <c r="B97" s="37"/>
      <c r="C97" s="248"/>
      <c r="D97" s="248"/>
      <c r="E97" s="1"/>
      <c r="F97" s="1"/>
      <c r="G97" s="1"/>
    </row>
    <row r="98" spans="2:7" x14ac:dyDescent="0.25">
      <c r="B98" s="37"/>
      <c r="C98" s="248"/>
      <c r="D98" s="248"/>
      <c r="E98" s="1"/>
      <c r="F98" s="1"/>
      <c r="G98" s="1"/>
    </row>
    <row r="99" spans="2:7" x14ac:dyDescent="0.25">
      <c r="B99" s="37"/>
      <c r="C99" s="248"/>
      <c r="D99" s="248"/>
      <c r="E99" s="1"/>
      <c r="F99" s="1"/>
      <c r="G99" s="1"/>
    </row>
    <row r="100" spans="2:7" x14ac:dyDescent="0.25">
      <c r="B100" s="37"/>
      <c r="C100" s="248"/>
      <c r="D100" s="248"/>
      <c r="E100" s="1"/>
      <c r="F100" s="1"/>
      <c r="G100" s="1"/>
    </row>
    <row r="101" spans="2:7" x14ac:dyDescent="0.25">
      <c r="B101" s="37"/>
      <c r="C101" s="248"/>
      <c r="D101" s="248"/>
      <c r="E101" s="1"/>
      <c r="F101" s="1"/>
      <c r="G101" s="1"/>
    </row>
  </sheetData>
  <phoneticPr fontId="28" type="noConversion"/>
  <pageMargins left="0.74803149606299213" right="0.74803149606299213" top="0.98425196850393704" bottom="0.98425196850393704" header="0.51181102362204722" footer="0.51181102362204722"/>
  <pageSetup paperSize="9" scale="8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B1:H27"/>
  <sheetViews>
    <sheetView showGridLines="0" view="pageBreakPreview" topLeftCell="A16" zoomScaleNormal="100" zoomScaleSheetLayoutView="100" workbookViewId="0">
      <selection activeCell="A25" sqref="A25:XFD32"/>
    </sheetView>
  </sheetViews>
  <sheetFormatPr defaultColWidth="9.21875" defaultRowHeight="13.2" x14ac:dyDescent="0.25"/>
  <cols>
    <col min="1" max="1" width="3.44140625" customWidth="1"/>
    <col min="2" max="2" width="55.77734375" customWidth="1"/>
    <col min="3" max="4" width="18.21875" bestFit="1" customWidth="1"/>
    <col min="5" max="5" width="21" customWidth="1"/>
    <col min="6" max="7" width="9.5546875" customWidth="1"/>
  </cols>
  <sheetData>
    <row r="1" spans="2:8" x14ac:dyDescent="0.25">
      <c r="B1" s="38"/>
    </row>
    <row r="2" spans="2:8" s="1" customFormat="1" ht="10.199999999999999" x14ac:dyDescent="0.2"/>
    <row r="3" spans="2:8" s="1" customFormat="1" x14ac:dyDescent="0.25">
      <c r="B3" s="412" t="s">
        <v>961</v>
      </c>
      <c r="C3" s="252"/>
      <c r="D3" s="252"/>
      <c r="E3" s="252"/>
      <c r="F3" s="252"/>
      <c r="G3" s="252"/>
      <c r="H3" s="252"/>
    </row>
    <row r="4" spans="2:8" s="1" customFormat="1" ht="10.199999999999999" x14ac:dyDescent="0.2">
      <c r="B4" s="94"/>
      <c r="C4" s="252"/>
      <c r="D4" s="252"/>
      <c r="E4" s="252"/>
      <c r="F4" s="252"/>
      <c r="G4" s="252"/>
      <c r="H4" s="252"/>
    </row>
    <row r="5" spans="2:8" s="8" customFormat="1" ht="10.199999999999999" x14ac:dyDescent="0.2">
      <c r="B5" s="128" t="s">
        <v>505</v>
      </c>
      <c r="C5" s="118" t="str">
        <f>'Dane podstawowe'!$B$7</f>
        <v>01.01.2018-31.12.2018</v>
      </c>
      <c r="D5" s="118" t="str">
        <f>'Dane podstawowe'!$B$12</f>
        <v>01.01.2017-31.12.2017</v>
      </c>
      <c r="E5" s="96"/>
      <c r="F5" s="96"/>
      <c r="G5" s="33"/>
    </row>
    <row r="6" spans="2:8" s="1" customFormat="1" ht="10.199999999999999" x14ac:dyDescent="0.2">
      <c r="B6" s="55" t="s">
        <v>503</v>
      </c>
      <c r="C6" s="253">
        <f>RZiS!D29</f>
        <v>516996</v>
      </c>
      <c r="D6" s="253">
        <f>RZiS!E29</f>
        <v>2831650</v>
      </c>
      <c r="E6" s="96"/>
      <c r="F6" s="96"/>
    </row>
    <row r="7" spans="2:8" s="1" customFormat="1" ht="10.199999999999999" x14ac:dyDescent="0.2">
      <c r="B7" s="55" t="s">
        <v>504</v>
      </c>
      <c r="C7" s="253">
        <f>RZiS!D30</f>
        <v>0</v>
      </c>
      <c r="D7" s="253">
        <f>RZiS!E30</f>
        <v>0</v>
      </c>
      <c r="E7" s="96"/>
      <c r="F7" s="96"/>
    </row>
    <row r="8" spans="2:8" s="1" customFormat="1" ht="20.399999999999999" x14ac:dyDescent="0.2">
      <c r="B8" s="101" t="s">
        <v>536</v>
      </c>
      <c r="C8" s="98">
        <f>C6-C7</f>
        <v>516996</v>
      </c>
      <c r="D8" s="98">
        <f>D6-D7</f>
        <v>2831650</v>
      </c>
      <c r="E8" s="96"/>
      <c r="F8" s="96"/>
    </row>
    <row r="9" spans="2:8" s="1" customFormat="1" ht="10.199999999999999" x14ac:dyDescent="0.2">
      <c r="B9" s="2" t="s">
        <v>506</v>
      </c>
      <c r="C9" s="253">
        <f>SUM(C10:C12)</f>
        <v>0</v>
      </c>
      <c r="D9" s="253">
        <f>SUM(D10:D12)</f>
        <v>0</v>
      </c>
      <c r="E9" s="96"/>
      <c r="F9" s="96"/>
    </row>
    <row r="10" spans="2:8" s="1" customFormat="1" ht="10.199999999999999" x14ac:dyDescent="0.2">
      <c r="B10" s="97" t="s">
        <v>507</v>
      </c>
      <c r="C10" s="253">
        <v>0</v>
      </c>
      <c r="D10" s="253">
        <v>0</v>
      </c>
      <c r="E10" s="96"/>
      <c r="F10" s="96"/>
    </row>
    <row r="11" spans="2:8" s="1" customFormat="1" ht="10.199999999999999" x14ac:dyDescent="0.2">
      <c r="B11" s="97" t="s">
        <v>508</v>
      </c>
      <c r="C11" s="253">
        <v>0</v>
      </c>
      <c r="D11" s="253">
        <v>0</v>
      </c>
      <c r="E11" s="96"/>
      <c r="F11" s="96"/>
    </row>
    <row r="12" spans="2:8" s="1" customFormat="1" ht="10.199999999999999" hidden="1" x14ac:dyDescent="0.2">
      <c r="B12" s="49" t="s">
        <v>509</v>
      </c>
      <c r="C12" s="253"/>
      <c r="D12" s="253"/>
      <c r="E12" s="96"/>
      <c r="F12" s="96"/>
    </row>
    <row r="13" spans="2:8" s="4" customFormat="1" ht="23.25" customHeight="1" x14ac:dyDescent="0.2">
      <c r="B13" s="101" t="s">
        <v>510</v>
      </c>
      <c r="C13" s="161">
        <f>C8+C9</f>
        <v>516996</v>
      </c>
      <c r="D13" s="161">
        <f>D8+D9</f>
        <v>2831650</v>
      </c>
      <c r="E13" s="96"/>
      <c r="F13" s="96"/>
    </row>
    <row r="14" spans="2:8" s="1" customFormat="1" ht="10.199999999999999" x14ac:dyDescent="0.2">
      <c r="B14" s="9"/>
      <c r="C14" s="100"/>
      <c r="D14" s="100"/>
      <c r="E14" s="96"/>
      <c r="F14" s="96"/>
    </row>
    <row r="15" spans="2:8" s="1" customFormat="1" ht="10.199999999999999" x14ac:dyDescent="0.2">
      <c r="B15" s="87"/>
      <c r="E15" s="96"/>
      <c r="F15" s="96"/>
    </row>
    <row r="16" spans="2:8" s="1" customFormat="1" ht="10.199999999999999" x14ac:dyDescent="0.2">
      <c r="B16" s="115" t="s">
        <v>517</v>
      </c>
      <c r="C16" s="118" t="str">
        <f>'Dane podstawowe'!$B$7</f>
        <v>01.01.2018-31.12.2018</v>
      </c>
      <c r="D16" s="118" t="str">
        <f>'Dane podstawowe'!$B$12</f>
        <v>01.01.2017-31.12.2017</v>
      </c>
      <c r="E16" s="96"/>
      <c r="F16" s="96"/>
    </row>
    <row r="17" spans="2:6" s="1" customFormat="1" ht="20.399999999999999" x14ac:dyDescent="0.2">
      <c r="B17" s="50" t="s">
        <v>511</v>
      </c>
      <c r="C17" s="45">
        <v>2291551</v>
      </c>
      <c r="D17" s="45">
        <v>2291551</v>
      </c>
      <c r="E17" s="96"/>
      <c r="F17" s="96"/>
    </row>
    <row r="18" spans="2:6" s="1" customFormat="1" ht="10.199999999999999" x14ac:dyDescent="0.2">
      <c r="B18" s="46" t="s">
        <v>512</v>
      </c>
      <c r="C18" s="253">
        <f>SUM(C19:C21)</f>
        <v>0</v>
      </c>
      <c r="D18" s="253">
        <f>SUM(D19:D21)</f>
        <v>0</v>
      </c>
      <c r="E18" s="96"/>
      <c r="F18" s="96"/>
    </row>
    <row r="19" spans="2:6" s="1" customFormat="1" ht="10.199999999999999" x14ac:dyDescent="0.2">
      <c r="B19" s="46" t="s">
        <v>513</v>
      </c>
      <c r="C19" s="78">
        <v>0</v>
      </c>
      <c r="D19" s="78">
        <v>0</v>
      </c>
      <c r="E19" s="96"/>
      <c r="F19" s="96"/>
    </row>
    <row r="20" spans="2:6" s="1" customFormat="1" ht="10.199999999999999" x14ac:dyDescent="0.2">
      <c r="B20" s="46" t="s">
        <v>514</v>
      </c>
      <c r="C20" s="78">
        <v>0</v>
      </c>
      <c r="D20" s="78">
        <v>0</v>
      </c>
      <c r="E20" s="96"/>
      <c r="F20" s="96"/>
    </row>
    <row r="21" spans="2:6" s="1" customFormat="1" ht="10.199999999999999" x14ac:dyDescent="0.2">
      <c r="B21" s="46" t="s">
        <v>515</v>
      </c>
      <c r="C21" s="78">
        <v>0</v>
      </c>
      <c r="D21" s="78">
        <v>0</v>
      </c>
      <c r="E21" s="96"/>
      <c r="F21" s="96"/>
    </row>
    <row r="22" spans="2:6" s="1" customFormat="1" ht="20.399999999999999" x14ac:dyDescent="0.2">
      <c r="B22" s="50" t="s">
        <v>516</v>
      </c>
      <c r="C22" s="161">
        <f>C17+C18</f>
        <v>2291551</v>
      </c>
      <c r="D22" s="161">
        <f>D17+D18</f>
        <v>2291551</v>
      </c>
      <c r="E22" s="96"/>
      <c r="F22" s="96"/>
    </row>
    <row r="23" spans="2:6" s="1" customFormat="1" ht="10.199999999999999" x14ac:dyDescent="0.2">
      <c r="B23" s="75"/>
      <c r="C23" s="244"/>
      <c r="D23" s="244"/>
    </row>
    <row r="24" spans="2:6" s="1" customFormat="1" ht="11.25" customHeight="1" x14ac:dyDescent="0.2">
      <c r="C24" s="662"/>
      <c r="D24" s="662"/>
      <c r="E24" s="662"/>
    </row>
    <row r="27" spans="2:6" x14ac:dyDescent="0.25">
      <c r="C27" s="165"/>
    </row>
  </sheetData>
  <mergeCells count="1">
    <mergeCell ref="C24:E24"/>
  </mergeCells>
  <phoneticPr fontId="28" type="noConversion"/>
  <pageMargins left="0.74803149606299213" right="0.74803149606299213" top="0.98425196850393704" bottom="0.98425196850393704" header="0.51181102362204722" footer="0.51181102362204722"/>
  <pageSetup paperSize="9" scale="6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pageSetUpPr fitToPage="1"/>
  </sheetPr>
  <dimension ref="B1:J162"/>
  <sheetViews>
    <sheetView showGridLines="0" view="pageBreakPreview" zoomScaleNormal="100" zoomScaleSheetLayoutView="100" zoomScalePageLayoutView="90" workbookViewId="0">
      <selection activeCell="J40" sqref="J40"/>
    </sheetView>
  </sheetViews>
  <sheetFormatPr defaultColWidth="9.21875" defaultRowHeight="10.199999999999999" outlineLevelRow="1" x14ac:dyDescent="0.2"/>
  <cols>
    <col min="1" max="1" width="2.77734375" style="218" customWidth="1"/>
    <col min="2" max="2" width="42.21875" style="218" customWidth="1"/>
    <col min="3" max="4" width="15.77734375" style="218" customWidth="1"/>
    <col min="5" max="8" width="14.44140625" style="218" customWidth="1"/>
    <col min="9" max="9" width="15.77734375" style="218" customWidth="1"/>
    <col min="10" max="10" width="13.77734375" style="218" customWidth="1"/>
    <col min="11" max="11" width="14.21875" style="218" customWidth="1"/>
    <col min="12" max="12" width="13.21875" style="218" customWidth="1"/>
    <col min="13" max="16384" width="9.21875" style="218"/>
  </cols>
  <sheetData>
    <row r="1" spans="2:9" ht="18.75" customHeight="1" x14ac:dyDescent="0.2">
      <c r="B1" s="254"/>
    </row>
    <row r="2" spans="2:9" ht="13.2" x14ac:dyDescent="0.25">
      <c r="B2" s="412" t="s">
        <v>962</v>
      </c>
    </row>
    <row r="3" spans="2:9" x14ac:dyDescent="0.2">
      <c r="B3" s="255"/>
    </row>
    <row r="4" spans="2:9" ht="13.8" customHeight="1" x14ac:dyDescent="0.2">
      <c r="B4" s="52" t="s">
        <v>5</v>
      </c>
    </row>
    <row r="5" spans="2:9" ht="13.8" customHeight="1" x14ac:dyDescent="0.2">
      <c r="B5" s="256"/>
    </row>
    <row r="6" spans="2:9" s="221" customFormat="1" x14ac:dyDescent="0.2">
      <c r="B6" s="223" t="s">
        <v>353</v>
      </c>
      <c r="C6" s="462">
        <f>'Dane podstawowe'!$B$9</f>
        <v>43465</v>
      </c>
      <c r="D6" s="462">
        <f>'Dane podstawowe'!$B$14</f>
        <v>43100</v>
      </c>
      <c r="E6" s="218"/>
      <c r="F6" s="218"/>
    </row>
    <row r="7" spans="2:9" x14ac:dyDescent="0.2">
      <c r="B7" s="257" t="s">
        <v>518</v>
      </c>
      <c r="C7" s="258">
        <f>I48-C8</f>
        <v>1023099</v>
      </c>
      <c r="D7" s="258">
        <v>792399</v>
      </c>
    </row>
    <row r="8" spans="2:9" ht="20.399999999999999" x14ac:dyDescent="0.2">
      <c r="B8" s="259" t="s">
        <v>519</v>
      </c>
      <c r="C8" s="258">
        <v>279775</v>
      </c>
      <c r="D8" s="258">
        <v>89728</v>
      </c>
    </row>
    <row r="9" spans="2:9" x14ac:dyDescent="0.2">
      <c r="B9" s="260" t="s">
        <v>28</v>
      </c>
      <c r="C9" s="220">
        <f>SUM(C7:C8)</f>
        <v>1302874</v>
      </c>
      <c r="D9" s="220">
        <f>SUM(D7:D8)</f>
        <v>882127</v>
      </c>
    </row>
    <row r="10" spans="2:9" x14ac:dyDescent="0.2">
      <c r="C10" s="316">
        <f>Aktywa!D4-'NOTA 9 -Rzeczowe aktywa trwałe'!C9</f>
        <v>0</v>
      </c>
      <c r="D10" s="316">
        <f>Aktywa!E4-'NOTA 9 -Rzeczowe aktywa trwałe'!D9</f>
        <v>0</v>
      </c>
    </row>
    <row r="11" spans="2:9" s="221" customFormat="1" x14ac:dyDescent="0.2">
      <c r="B11" s="261"/>
      <c r="C11" s="262"/>
      <c r="D11" s="262"/>
      <c r="E11" s="218"/>
      <c r="F11" s="218"/>
      <c r="G11" s="218"/>
      <c r="H11" s="218"/>
    </row>
    <row r="12" spans="2:9" x14ac:dyDescent="0.2">
      <c r="B12" s="463" t="s">
        <v>833</v>
      </c>
      <c r="C12" s="263"/>
      <c r="D12" s="263"/>
    </row>
    <row r="13" spans="2:9" x14ac:dyDescent="0.2">
      <c r="B13" s="256"/>
      <c r="C13" s="263"/>
      <c r="D13" s="263"/>
    </row>
    <row r="14" spans="2:9" ht="30.6" outlineLevel="1" x14ac:dyDescent="0.2">
      <c r="B14" s="225" t="s">
        <v>353</v>
      </c>
      <c r="C14" s="264" t="s">
        <v>355</v>
      </c>
      <c r="D14" s="265" t="s">
        <v>356</v>
      </c>
      <c r="E14" s="264" t="s">
        <v>357</v>
      </c>
      <c r="F14" s="265" t="s">
        <v>574</v>
      </c>
      <c r="G14" s="264" t="s">
        <v>575</v>
      </c>
      <c r="H14" s="532" t="s">
        <v>826</v>
      </c>
      <c r="I14" s="266" t="s">
        <v>28</v>
      </c>
    </row>
    <row r="15" spans="2:9" s="221" customFormat="1" outlineLevel="1" x14ac:dyDescent="0.25">
      <c r="B15" s="464" t="s">
        <v>834</v>
      </c>
      <c r="C15" s="267">
        <f t="shared" ref="C15:H15" si="0">C69</f>
        <v>0</v>
      </c>
      <c r="D15" s="267">
        <f t="shared" si="0"/>
        <v>267811</v>
      </c>
      <c r="E15" s="267">
        <f t="shared" si="0"/>
        <v>989754</v>
      </c>
      <c r="F15" s="267">
        <f t="shared" si="0"/>
        <v>182400</v>
      </c>
      <c r="G15" s="267">
        <f t="shared" si="0"/>
        <v>172652</v>
      </c>
      <c r="H15" s="267">
        <f t="shared" si="0"/>
        <v>17044</v>
      </c>
      <c r="I15" s="267">
        <f>SUM(C15:H15)</f>
        <v>1629661</v>
      </c>
    </row>
    <row r="16" spans="2:9" s="221" customFormat="1" outlineLevel="1" x14ac:dyDescent="0.25">
      <c r="B16" s="545" t="s">
        <v>874</v>
      </c>
      <c r="C16" s="267">
        <v>0</v>
      </c>
      <c r="D16" s="267">
        <v>0</v>
      </c>
      <c r="E16" s="267">
        <v>1627532</v>
      </c>
      <c r="F16" s="267">
        <v>114000</v>
      </c>
      <c r="G16" s="267">
        <v>0</v>
      </c>
      <c r="H16" s="267">
        <v>0</v>
      </c>
      <c r="I16" s="267">
        <f>SUM(C16:H16)</f>
        <v>1741532</v>
      </c>
    </row>
    <row r="17" spans="2:9" s="221" customFormat="1" ht="20.399999999999999" outlineLevel="1" x14ac:dyDescent="0.25">
      <c r="B17" s="464" t="s">
        <v>871</v>
      </c>
      <c r="C17" s="267">
        <f>C16+C15</f>
        <v>0</v>
      </c>
      <c r="D17" s="267">
        <f>D16+D15</f>
        <v>267811</v>
      </c>
      <c r="E17" s="267">
        <f t="shared" ref="E17:H17" si="1">E16+E15</f>
        <v>2617286</v>
      </c>
      <c r="F17" s="267">
        <f t="shared" si="1"/>
        <v>296400</v>
      </c>
      <c r="G17" s="267">
        <f t="shared" si="1"/>
        <v>172652</v>
      </c>
      <c r="H17" s="267">
        <f t="shared" si="1"/>
        <v>17044</v>
      </c>
      <c r="I17" s="267">
        <f t="shared" ref="I17" si="2">SUM(C17:H17)</f>
        <v>3371193</v>
      </c>
    </row>
    <row r="18" spans="2:9" s="270" customFormat="1" outlineLevel="1" x14ac:dyDescent="0.2">
      <c r="B18" s="268" t="s">
        <v>105</v>
      </c>
      <c r="C18" s="269">
        <f t="shared" ref="C18:H18" si="3">SUM(C19:C25)</f>
        <v>0</v>
      </c>
      <c r="D18" s="269">
        <f t="shared" si="3"/>
        <v>337159</v>
      </c>
      <c r="E18" s="269">
        <f t="shared" si="3"/>
        <v>174273</v>
      </c>
      <c r="F18" s="269">
        <f t="shared" si="3"/>
        <v>281325</v>
      </c>
      <c r="G18" s="269">
        <f t="shared" si="3"/>
        <v>26085</v>
      </c>
      <c r="H18" s="269">
        <f t="shared" si="3"/>
        <v>320115</v>
      </c>
      <c r="I18" s="269">
        <f>SUM(C18:H18)</f>
        <v>1138957</v>
      </c>
    </row>
    <row r="19" spans="2:9" outlineLevel="1" x14ac:dyDescent="0.2">
      <c r="B19" s="271" t="s">
        <v>165</v>
      </c>
      <c r="C19" s="222">
        <v>0</v>
      </c>
      <c r="D19" s="222">
        <f>65542</f>
        <v>65542</v>
      </c>
      <c r="E19" s="222">
        <f>174273-E25</f>
        <v>118422</v>
      </c>
      <c r="F19" s="222">
        <v>0</v>
      </c>
      <c r="G19" s="222">
        <v>26085</v>
      </c>
      <c r="H19" s="222">
        <v>320115</v>
      </c>
      <c r="I19" s="222">
        <f>SUM(C19:H19)</f>
        <v>530164</v>
      </c>
    </row>
    <row r="20" spans="2:9" outlineLevel="1" x14ac:dyDescent="0.2">
      <c r="B20" s="271" t="s">
        <v>166</v>
      </c>
      <c r="C20" s="222"/>
      <c r="D20" s="222">
        <f>291217-19600</f>
        <v>271617</v>
      </c>
      <c r="E20" s="222">
        <v>0</v>
      </c>
      <c r="F20" s="222">
        <v>0</v>
      </c>
      <c r="G20" s="222">
        <v>0</v>
      </c>
      <c r="H20" s="222">
        <v>0</v>
      </c>
      <c r="I20" s="222">
        <f>SUM(C20:H20)</f>
        <v>271617</v>
      </c>
    </row>
    <row r="21" spans="2:9" hidden="1" outlineLevel="1" x14ac:dyDescent="0.2">
      <c r="B21" s="271" t="s">
        <v>162</v>
      </c>
      <c r="C21" s="222"/>
      <c r="D21" s="222"/>
      <c r="E21" s="222"/>
      <c r="F21" s="222"/>
      <c r="G21" s="222"/>
      <c r="H21" s="222"/>
      <c r="I21" s="222">
        <f t="shared" ref="I21:I25" si="4">SUM(C21:H21)</f>
        <v>0</v>
      </c>
    </row>
    <row r="22" spans="2:9" outlineLevel="1" x14ac:dyDescent="0.2">
      <c r="B22" s="271" t="s">
        <v>167</v>
      </c>
      <c r="C22" s="222">
        <v>0</v>
      </c>
      <c r="D22" s="222">
        <v>0</v>
      </c>
      <c r="E22" s="222">
        <v>0</v>
      </c>
      <c r="F22" s="222">
        <v>281325</v>
      </c>
      <c r="G22" s="222">
        <v>0</v>
      </c>
      <c r="H22" s="222">
        <v>0</v>
      </c>
      <c r="I22" s="222">
        <f t="shared" si="4"/>
        <v>281325</v>
      </c>
    </row>
    <row r="23" spans="2:9" hidden="1" outlineLevel="1" x14ac:dyDescent="0.2">
      <c r="B23" s="271" t="s">
        <v>168</v>
      </c>
      <c r="C23" s="222"/>
      <c r="D23" s="222"/>
      <c r="E23" s="222"/>
      <c r="F23" s="222"/>
      <c r="G23" s="222"/>
      <c r="H23" s="222"/>
      <c r="I23" s="222">
        <f t="shared" si="4"/>
        <v>0</v>
      </c>
    </row>
    <row r="24" spans="2:9" hidden="1" outlineLevel="1" x14ac:dyDescent="0.2">
      <c r="B24" s="360" t="s">
        <v>564</v>
      </c>
      <c r="C24" s="222"/>
      <c r="D24" s="222"/>
      <c r="E24" s="222"/>
      <c r="F24" s="222"/>
      <c r="G24" s="222"/>
      <c r="H24" s="222"/>
      <c r="I24" s="222">
        <f t="shared" si="4"/>
        <v>0</v>
      </c>
    </row>
    <row r="25" spans="2:9" outlineLevel="1" x14ac:dyDescent="0.2">
      <c r="B25" s="271" t="s">
        <v>555</v>
      </c>
      <c r="C25" s="222">
        <v>0</v>
      </c>
      <c r="D25" s="222">
        <v>0</v>
      </c>
      <c r="E25" s="222">
        <v>55851</v>
      </c>
      <c r="F25" s="222">
        <v>0</v>
      </c>
      <c r="G25" s="222">
        <v>0</v>
      </c>
      <c r="H25" s="222">
        <v>0</v>
      </c>
      <c r="I25" s="222">
        <f t="shared" si="4"/>
        <v>55851</v>
      </c>
    </row>
    <row r="26" spans="2:9" s="255" customFormat="1" outlineLevel="1" x14ac:dyDescent="0.2">
      <c r="B26" s="268" t="s">
        <v>104</v>
      </c>
      <c r="C26" s="269">
        <f t="shared" ref="C26:H26" si="5">SUM(C27:C32)</f>
        <v>0</v>
      </c>
      <c r="D26" s="269">
        <f t="shared" si="5"/>
        <v>0</v>
      </c>
      <c r="E26" s="269">
        <f t="shared" si="5"/>
        <v>173876</v>
      </c>
      <c r="F26" s="269">
        <f t="shared" si="5"/>
        <v>126548</v>
      </c>
      <c r="G26" s="269">
        <f t="shared" si="5"/>
        <v>4877</v>
      </c>
      <c r="H26" s="269">
        <f t="shared" si="5"/>
        <v>337159</v>
      </c>
      <c r="I26" s="269">
        <f>SUM(C26:H26)</f>
        <v>642460</v>
      </c>
    </row>
    <row r="27" spans="2:9" outlineLevel="1" x14ac:dyDescent="0.2">
      <c r="B27" s="411" t="s">
        <v>872</v>
      </c>
      <c r="C27" s="222">
        <v>0</v>
      </c>
      <c r="D27" s="222">
        <v>0</v>
      </c>
      <c r="E27" s="222">
        <f>172676-E28+1200</f>
        <v>17416</v>
      </c>
      <c r="F27" s="222">
        <v>126548</v>
      </c>
      <c r="G27" s="222"/>
      <c r="H27" s="222">
        <v>0</v>
      </c>
      <c r="I27" s="222">
        <f>SUM(C27:H27)</f>
        <v>143964</v>
      </c>
    </row>
    <row r="28" spans="2:9" outlineLevel="1" x14ac:dyDescent="0.2">
      <c r="B28" s="271" t="s">
        <v>170</v>
      </c>
      <c r="C28" s="222">
        <v>0</v>
      </c>
      <c r="D28" s="222">
        <v>0</v>
      </c>
      <c r="E28" s="222">
        <v>156460</v>
      </c>
      <c r="F28" s="222">
        <v>0</v>
      </c>
      <c r="G28" s="222">
        <v>4877</v>
      </c>
      <c r="H28" s="222">
        <v>0</v>
      </c>
      <c r="I28" s="222">
        <f>SUM(C28:H28)</f>
        <v>161337</v>
      </c>
    </row>
    <row r="29" spans="2:9" hidden="1" outlineLevel="1" x14ac:dyDescent="0.2">
      <c r="B29" s="271" t="s">
        <v>171</v>
      </c>
      <c r="C29" s="222">
        <v>0</v>
      </c>
      <c r="D29" s="222">
        <v>0</v>
      </c>
      <c r="E29" s="222">
        <v>0</v>
      </c>
      <c r="F29" s="222">
        <v>0</v>
      </c>
      <c r="G29" s="222">
        <v>0</v>
      </c>
      <c r="H29" s="222">
        <v>0</v>
      </c>
      <c r="I29" s="222">
        <f t="shared" ref="I29:I32" si="6">SUM(C29:H29)</f>
        <v>0</v>
      </c>
    </row>
    <row r="30" spans="2:9" hidden="1" outlineLevel="1" x14ac:dyDescent="0.2">
      <c r="B30" s="271" t="s">
        <v>168</v>
      </c>
      <c r="C30" s="222">
        <v>0</v>
      </c>
      <c r="D30" s="222">
        <v>0</v>
      </c>
      <c r="E30" s="222">
        <v>0</v>
      </c>
      <c r="F30" s="222">
        <v>0</v>
      </c>
      <c r="G30" s="222">
        <v>0</v>
      </c>
      <c r="H30" s="222">
        <v>0</v>
      </c>
      <c r="I30" s="222">
        <f t="shared" si="6"/>
        <v>0</v>
      </c>
    </row>
    <row r="31" spans="2:9" hidden="1" outlineLevel="1" x14ac:dyDescent="0.2">
      <c r="B31" s="271" t="s">
        <v>172</v>
      </c>
      <c r="C31" s="222">
        <v>0</v>
      </c>
      <c r="D31" s="222">
        <v>0</v>
      </c>
      <c r="E31" s="222">
        <v>0</v>
      </c>
      <c r="F31" s="222">
        <v>0</v>
      </c>
      <c r="G31" s="222">
        <v>0</v>
      </c>
      <c r="H31" s="222">
        <v>0</v>
      </c>
      <c r="I31" s="222">
        <f t="shared" si="6"/>
        <v>0</v>
      </c>
    </row>
    <row r="32" spans="2:9" outlineLevel="1" x14ac:dyDescent="0.2">
      <c r="B32" s="411" t="s">
        <v>869</v>
      </c>
      <c r="C32" s="222">
        <v>0</v>
      </c>
      <c r="D32" s="222">
        <v>0</v>
      </c>
      <c r="E32" s="222">
        <v>0</v>
      </c>
      <c r="F32" s="222">
        <v>0</v>
      </c>
      <c r="G32" s="222">
        <v>0</v>
      </c>
      <c r="H32" s="222">
        <v>337159</v>
      </c>
      <c r="I32" s="222">
        <f t="shared" si="6"/>
        <v>337159</v>
      </c>
    </row>
    <row r="33" spans="2:10" s="221" customFormat="1" ht="10.8" outlineLevel="1" thickBot="1" x14ac:dyDescent="0.3">
      <c r="B33" s="429" t="s">
        <v>835</v>
      </c>
      <c r="C33" s="272">
        <f>C17+C18-C26</f>
        <v>0</v>
      </c>
      <c r="D33" s="272">
        <f t="shared" ref="D33:H33" si="7">D17+D18-D26</f>
        <v>604970</v>
      </c>
      <c r="E33" s="272">
        <f t="shared" si="7"/>
        <v>2617683</v>
      </c>
      <c r="F33" s="272">
        <f t="shared" si="7"/>
        <v>451177</v>
      </c>
      <c r="G33" s="272">
        <f t="shared" si="7"/>
        <v>193860</v>
      </c>
      <c r="H33" s="272">
        <f t="shared" si="7"/>
        <v>0</v>
      </c>
      <c r="I33" s="272">
        <f>SUM(C33:H33)</f>
        <v>3867690</v>
      </c>
    </row>
    <row r="34" spans="2:10" ht="10.8" outlineLevel="1" thickTop="1" x14ac:dyDescent="0.2">
      <c r="B34" s="63" t="s">
        <v>836</v>
      </c>
      <c r="C34" s="220">
        <f t="shared" ref="C34:G34" si="8">C80</f>
        <v>0</v>
      </c>
      <c r="D34" s="220">
        <f t="shared" si="8"/>
        <v>63283</v>
      </c>
      <c r="E34" s="220">
        <f t="shared" si="8"/>
        <v>522500</v>
      </c>
      <c r="F34" s="220">
        <f t="shared" si="8"/>
        <v>92672</v>
      </c>
      <c r="G34" s="220">
        <f t="shared" si="8"/>
        <v>69079</v>
      </c>
      <c r="H34" s="220">
        <v>0</v>
      </c>
      <c r="I34" s="220">
        <f>SUM(C34:H34)</f>
        <v>747534</v>
      </c>
    </row>
    <row r="35" spans="2:10" outlineLevel="1" x14ac:dyDescent="0.2">
      <c r="B35" s="545" t="s">
        <v>874</v>
      </c>
      <c r="C35" s="220">
        <v>0</v>
      </c>
      <c r="D35" s="220">
        <v>0</v>
      </c>
      <c r="E35" s="220">
        <v>1607570</v>
      </c>
      <c r="F35" s="220">
        <v>114000</v>
      </c>
      <c r="G35" s="220">
        <v>0</v>
      </c>
      <c r="H35" s="220">
        <v>0</v>
      </c>
      <c r="I35" s="220">
        <f t="shared" ref="I35:I36" si="9">SUM(C35:H35)</f>
        <v>1721570</v>
      </c>
    </row>
    <row r="36" spans="2:10" ht="20.399999999999999" outlineLevel="1" x14ac:dyDescent="0.2">
      <c r="B36" s="464" t="s">
        <v>870</v>
      </c>
      <c r="C36" s="220">
        <f>C34+C35</f>
        <v>0</v>
      </c>
      <c r="D36" s="220">
        <f t="shared" ref="D36:H36" si="10">D34+D35</f>
        <v>63283</v>
      </c>
      <c r="E36" s="220">
        <f>E34+E35</f>
        <v>2130070</v>
      </c>
      <c r="F36" s="220">
        <f t="shared" si="10"/>
        <v>206672</v>
      </c>
      <c r="G36" s="220">
        <f t="shared" si="10"/>
        <v>69079</v>
      </c>
      <c r="H36" s="220">
        <f t="shared" si="10"/>
        <v>0</v>
      </c>
      <c r="I36" s="220">
        <f t="shared" si="9"/>
        <v>2469104</v>
      </c>
    </row>
    <row r="37" spans="2:10" s="270" customFormat="1" outlineLevel="1" x14ac:dyDescent="0.2">
      <c r="B37" s="268" t="s">
        <v>105</v>
      </c>
      <c r="C37" s="269">
        <f t="shared" ref="C37:G37" si="11">SUM(C38:C40)</f>
        <v>0</v>
      </c>
      <c r="D37" s="269">
        <f t="shared" si="11"/>
        <v>45487</v>
      </c>
      <c r="E37" s="269">
        <f>SUM(E38:E40)</f>
        <v>219949</v>
      </c>
      <c r="F37" s="269">
        <f t="shared" si="11"/>
        <v>59478</v>
      </c>
      <c r="G37" s="269">
        <f t="shared" si="11"/>
        <v>31075</v>
      </c>
      <c r="H37" s="269">
        <v>0</v>
      </c>
      <c r="I37" s="269">
        <f>SUM(C37:H37)</f>
        <v>355989</v>
      </c>
    </row>
    <row r="38" spans="2:10" outlineLevel="1" x14ac:dyDescent="0.2">
      <c r="B38" s="271" t="s">
        <v>173</v>
      </c>
      <c r="C38" s="222">
        <v>0</v>
      </c>
      <c r="D38" s="222">
        <v>45487</v>
      </c>
      <c r="E38" s="222">
        <f>223520-E40-E47</f>
        <v>216975</v>
      </c>
      <c r="F38" s="222">
        <v>59478</v>
      </c>
      <c r="G38" s="222">
        <v>31075</v>
      </c>
      <c r="H38" s="222">
        <v>0</v>
      </c>
      <c r="I38" s="222">
        <f>SUM(C38:H38)</f>
        <v>353015</v>
      </c>
    </row>
    <row r="39" spans="2:10" hidden="1" outlineLevel="1" x14ac:dyDescent="0.2">
      <c r="B39" s="271" t="s">
        <v>168</v>
      </c>
      <c r="C39" s="222"/>
      <c r="D39" s="222"/>
      <c r="E39" s="222"/>
      <c r="F39" s="222"/>
      <c r="G39" s="222"/>
      <c r="H39" s="222"/>
      <c r="I39" s="222">
        <f t="shared" ref="I39:I44" si="12">SUM(C39:G39)</f>
        <v>0</v>
      </c>
    </row>
    <row r="40" spans="2:10" outlineLevel="1" x14ac:dyDescent="0.2">
      <c r="B40" s="271" t="s">
        <v>555</v>
      </c>
      <c r="C40" s="222">
        <v>0</v>
      </c>
      <c r="D40" s="222">
        <v>0</v>
      </c>
      <c r="E40" s="222">
        <v>2974</v>
      </c>
      <c r="F40" s="222">
        <v>0</v>
      </c>
      <c r="G40" s="222">
        <v>0</v>
      </c>
      <c r="H40" s="222">
        <v>0</v>
      </c>
      <c r="I40" s="222">
        <f t="shared" si="12"/>
        <v>2974</v>
      </c>
    </row>
    <row r="41" spans="2:10" s="270" customFormat="1" outlineLevel="1" x14ac:dyDescent="0.2">
      <c r="B41" s="268" t="s">
        <v>104</v>
      </c>
      <c r="C41" s="269">
        <f t="shared" ref="C41:G41" si="13">SUM(C42:C45)</f>
        <v>0</v>
      </c>
      <c r="D41" s="269">
        <f t="shared" si="13"/>
        <v>0</v>
      </c>
      <c r="E41" s="269">
        <f t="shared" si="13"/>
        <v>164550</v>
      </c>
      <c r="F41" s="269">
        <f t="shared" si="13"/>
        <v>94748</v>
      </c>
      <c r="G41" s="269">
        <f t="shared" si="13"/>
        <v>4550</v>
      </c>
      <c r="H41" s="269">
        <v>0</v>
      </c>
      <c r="I41" s="269">
        <f>SUM(C41:G41)</f>
        <v>263848</v>
      </c>
    </row>
    <row r="42" spans="2:10" outlineLevel="1" x14ac:dyDescent="0.2">
      <c r="B42" s="411" t="s">
        <v>872</v>
      </c>
      <c r="C42" s="222">
        <v>0</v>
      </c>
      <c r="D42" s="222">
        <v>0</v>
      </c>
      <c r="E42" s="222">
        <f>164550-E45</f>
        <v>11182</v>
      </c>
      <c r="F42" s="209">
        <v>94748</v>
      </c>
      <c r="G42" s="222">
        <f>4550-G45</f>
        <v>21</v>
      </c>
      <c r="H42" s="222">
        <v>0</v>
      </c>
      <c r="I42" s="222">
        <f>SUM(C42:H42)</f>
        <v>105951</v>
      </c>
    </row>
    <row r="43" spans="2:10" hidden="1" outlineLevel="1" x14ac:dyDescent="0.2">
      <c r="B43" s="271" t="s">
        <v>170</v>
      </c>
      <c r="C43" s="222"/>
      <c r="D43" s="222"/>
      <c r="E43" s="222"/>
      <c r="F43" s="222"/>
      <c r="G43" s="222"/>
      <c r="H43" s="222"/>
      <c r="I43" s="222">
        <f t="shared" si="12"/>
        <v>0</v>
      </c>
    </row>
    <row r="44" spans="2:10" hidden="1" outlineLevel="1" x14ac:dyDescent="0.2">
      <c r="B44" s="271" t="s">
        <v>168</v>
      </c>
      <c r="C44" s="222"/>
      <c r="D44" s="222"/>
      <c r="E44" s="222"/>
      <c r="F44" s="222"/>
      <c r="G44" s="222"/>
      <c r="H44" s="222"/>
      <c r="I44" s="222">
        <f t="shared" si="12"/>
        <v>0</v>
      </c>
    </row>
    <row r="45" spans="2:10" outlineLevel="1" x14ac:dyDescent="0.2">
      <c r="B45" s="271" t="s">
        <v>170</v>
      </c>
      <c r="C45" s="222">
        <v>0</v>
      </c>
      <c r="D45" s="222">
        <v>0</v>
      </c>
      <c r="E45" s="222">
        <v>153368</v>
      </c>
      <c r="F45" s="222">
        <v>0</v>
      </c>
      <c r="G45" s="222">
        <v>4529</v>
      </c>
      <c r="H45" s="222">
        <v>0</v>
      </c>
      <c r="I45" s="222">
        <f>SUM(C45:H45)</f>
        <v>157897</v>
      </c>
    </row>
    <row r="46" spans="2:10" ht="10.8" outlineLevel="1" thickBot="1" x14ac:dyDescent="0.25">
      <c r="B46" s="102" t="s">
        <v>837</v>
      </c>
      <c r="C46" s="273">
        <f t="shared" ref="C46" si="14">C34+C37-C41</f>
        <v>0</v>
      </c>
      <c r="D46" s="273">
        <f>D36+D37-D41</f>
        <v>108770</v>
      </c>
      <c r="E46" s="273">
        <f t="shared" ref="E46:H46" si="15">E36+E37-E41</f>
        <v>2185469</v>
      </c>
      <c r="F46" s="273">
        <f t="shared" si="15"/>
        <v>171402</v>
      </c>
      <c r="G46" s="273">
        <f t="shared" si="15"/>
        <v>95604</v>
      </c>
      <c r="H46" s="273">
        <f t="shared" si="15"/>
        <v>0</v>
      </c>
      <c r="I46" s="273">
        <f>SUM(C46:H46)</f>
        <v>2561245</v>
      </c>
    </row>
    <row r="47" spans="2:10" ht="11.4" outlineLevel="1" thickTop="1" thickBot="1" x14ac:dyDescent="0.25">
      <c r="B47" s="546" t="s">
        <v>873</v>
      </c>
      <c r="C47" s="547">
        <v>0</v>
      </c>
      <c r="D47" s="547"/>
      <c r="E47" s="547">
        <v>3571</v>
      </c>
      <c r="F47" s="547"/>
      <c r="G47" s="547"/>
      <c r="H47" s="547"/>
      <c r="I47" s="273">
        <f>SUM(C47:H47)</f>
        <v>3571</v>
      </c>
    </row>
    <row r="48" spans="2:10" ht="11.4" outlineLevel="1" thickTop="1" thickBot="1" x14ac:dyDescent="0.25">
      <c r="B48" s="452" t="s">
        <v>838</v>
      </c>
      <c r="C48" s="317">
        <f>C33-C46</f>
        <v>0</v>
      </c>
      <c r="D48" s="317">
        <f t="shared" ref="D48:H48" si="16">D33-D46</f>
        <v>496200</v>
      </c>
      <c r="E48" s="317">
        <f>E33-E46-E47</f>
        <v>428643</v>
      </c>
      <c r="F48" s="317">
        <f t="shared" si="16"/>
        <v>279775</v>
      </c>
      <c r="G48" s="317">
        <f t="shared" si="16"/>
        <v>98256</v>
      </c>
      <c r="H48" s="317">
        <f t="shared" si="16"/>
        <v>0</v>
      </c>
      <c r="I48" s="317">
        <f>I33-I46-I47</f>
        <v>1302874</v>
      </c>
      <c r="J48" s="318">
        <f>I48-Aktywa!D4</f>
        <v>0</v>
      </c>
    </row>
    <row r="49" spans="2:10" s="270" customFormat="1" ht="10.8" outlineLevel="1" thickTop="1" x14ac:dyDescent="0.2">
      <c r="B49" s="218"/>
      <c r="C49" s="218"/>
      <c r="D49" s="218"/>
      <c r="E49" s="218">
        <v>428644</v>
      </c>
      <c r="F49" s="218"/>
      <c r="G49" s="218">
        <v>98255</v>
      </c>
      <c r="H49" s="218"/>
      <c r="I49" s="318">
        <f>Aktywa!D4</f>
        <v>1302874</v>
      </c>
    </row>
    <row r="50" spans="2:10" outlineLevel="1" x14ac:dyDescent="0.2">
      <c r="B50" s="463" t="s">
        <v>785</v>
      </c>
      <c r="E50" s="318"/>
      <c r="G50" s="318"/>
    </row>
    <row r="51" spans="2:10" outlineLevel="1" x14ac:dyDescent="0.2">
      <c r="B51" s="256"/>
    </row>
    <row r="52" spans="2:10" s="270" customFormat="1" ht="30.6" outlineLevel="1" x14ac:dyDescent="0.2">
      <c r="B52" s="225" t="s">
        <v>353</v>
      </c>
      <c r="C52" s="264" t="s">
        <v>355</v>
      </c>
      <c r="D52" s="265" t="s">
        <v>356</v>
      </c>
      <c r="E52" s="264" t="s">
        <v>357</v>
      </c>
      <c r="F52" s="265" t="s">
        <v>574</v>
      </c>
      <c r="G52" s="264" t="s">
        <v>575</v>
      </c>
      <c r="H52" s="532" t="s">
        <v>822</v>
      </c>
      <c r="I52" s="266" t="s">
        <v>28</v>
      </c>
    </row>
    <row r="53" spans="2:10" outlineLevel="1" x14ac:dyDescent="0.2">
      <c r="B53" s="101" t="s">
        <v>786</v>
      </c>
      <c r="C53" s="267">
        <v>0</v>
      </c>
      <c r="D53" s="267">
        <v>174715</v>
      </c>
      <c r="E53" s="267">
        <v>846370</v>
      </c>
      <c r="F53" s="267">
        <v>182400</v>
      </c>
      <c r="G53" s="267">
        <v>155814</v>
      </c>
      <c r="H53" s="267">
        <v>0</v>
      </c>
      <c r="I53" s="127">
        <f>SUM(C53:H53)</f>
        <v>1359299</v>
      </c>
    </row>
    <row r="54" spans="2:10" outlineLevel="1" x14ac:dyDescent="0.2">
      <c r="B54" s="268" t="s">
        <v>105</v>
      </c>
      <c r="C54" s="269">
        <f>SUM(C55:C61)</f>
        <v>0</v>
      </c>
      <c r="D54" s="269">
        <f t="shared" ref="D54:H54" si="17">SUM(D55:D61)</f>
        <v>130584</v>
      </c>
      <c r="E54" s="269">
        <f t="shared" si="17"/>
        <v>159285</v>
      </c>
      <c r="F54" s="269">
        <f t="shared" si="17"/>
        <v>0</v>
      </c>
      <c r="G54" s="269">
        <f t="shared" si="17"/>
        <v>25428</v>
      </c>
      <c r="H54" s="269">
        <f t="shared" si="17"/>
        <v>17044</v>
      </c>
      <c r="I54" s="127">
        <f>SUM(C54:H54)</f>
        <v>332341</v>
      </c>
    </row>
    <row r="55" spans="2:10" outlineLevel="1" x14ac:dyDescent="0.2">
      <c r="B55" s="271" t="s">
        <v>165</v>
      </c>
      <c r="C55" s="222">
        <v>0</v>
      </c>
      <c r="D55" s="222">
        <v>130584</v>
      </c>
      <c r="E55" s="222">
        <v>159285</v>
      </c>
      <c r="F55" s="222">
        <v>0</v>
      </c>
      <c r="G55" s="222">
        <v>25428</v>
      </c>
      <c r="H55" s="222">
        <v>17044</v>
      </c>
      <c r="I55" s="228">
        <f>SUM(C55:H55)</f>
        <v>332341</v>
      </c>
    </row>
    <row r="56" spans="2:10" hidden="1" outlineLevel="1" x14ac:dyDescent="0.2">
      <c r="B56" s="271" t="s">
        <v>166</v>
      </c>
      <c r="C56" s="222"/>
      <c r="D56" s="222"/>
      <c r="E56" s="222"/>
      <c r="F56" s="222"/>
      <c r="G56" s="222"/>
      <c r="H56" s="222"/>
      <c r="I56" s="228">
        <f t="shared" ref="I56:I60" si="18">SUM(C56:G56)</f>
        <v>0</v>
      </c>
    </row>
    <row r="57" spans="2:10" ht="12" hidden="1" customHeight="1" outlineLevel="1" x14ac:dyDescent="0.2">
      <c r="B57" s="271" t="s">
        <v>162</v>
      </c>
      <c r="C57" s="222"/>
      <c r="D57" s="222"/>
      <c r="E57" s="222"/>
      <c r="F57" s="222"/>
      <c r="G57" s="222"/>
      <c r="H57" s="222"/>
      <c r="I57" s="228">
        <f t="shared" si="18"/>
        <v>0</v>
      </c>
    </row>
    <row r="58" spans="2:10" s="221" customFormat="1" hidden="1" outlineLevel="1" x14ac:dyDescent="0.2">
      <c r="B58" s="271" t="s">
        <v>167</v>
      </c>
      <c r="C58" s="222"/>
      <c r="D58" s="222"/>
      <c r="E58" s="222"/>
      <c r="F58" s="222"/>
      <c r="G58" s="222"/>
      <c r="H58" s="222"/>
      <c r="I58" s="228">
        <f t="shared" si="18"/>
        <v>0</v>
      </c>
    </row>
    <row r="59" spans="2:10" hidden="1" x14ac:dyDescent="0.2">
      <c r="B59" s="271" t="s">
        <v>168</v>
      </c>
      <c r="C59" s="222"/>
      <c r="D59" s="222"/>
      <c r="E59" s="222"/>
      <c r="F59" s="222"/>
      <c r="G59" s="222"/>
      <c r="H59" s="222"/>
      <c r="I59" s="228">
        <f t="shared" si="18"/>
        <v>0</v>
      </c>
      <c r="J59" s="318"/>
    </row>
    <row r="60" spans="2:10" hidden="1" x14ac:dyDescent="0.2">
      <c r="B60" s="360" t="s">
        <v>564</v>
      </c>
      <c r="C60" s="222"/>
      <c r="D60" s="222"/>
      <c r="E60" s="222"/>
      <c r="F60" s="222"/>
      <c r="G60" s="222"/>
      <c r="H60" s="222"/>
      <c r="I60" s="228">
        <f t="shared" si="18"/>
        <v>0</v>
      </c>
    </row>
    <row r="61" spans="2:10" x14ac:dyDescent="0.2">
      <c r="B61" s="271" t="s">
        <v>555</v>
      </c>
      <c r="C61" s="222">
        <v>0</v>
      </c>
      <c r="D61" s="222">
        <v>0</v>
      </c>
      <c r="E61" s="222">
        <v>0</v>
      </c>
      <c r="F61" s="222">
        <v>0</v>
      </c>
      <c r="G61" s="222">
        <v>0</v>
      </c>
      <c r="H61" s="222">
        <v>0</v>
      </c>
      <c r="I61" s="228">
        <f>SUM(C61:H61)</f>
        <v>0</v>
      </c>
    </row>
    <row r="62" spans="2:10" outlineLevel="1" x14ac:dyDescent="0.2">
      <c r="B62" s="268" t="s">
        <v>104</v>
      </c>
      <c r="C62" s="269">
        <f>SUM(C63:C68)</f>
        <v>0</v>
      </c>
      <c r="D62" s="269">
        <f t="shared" ref="D62:G62" si="19">SUM(D63:D68)</f>
        <v>37488</v>
      </c>
      <c r="E62" s="269">
        <f t="shared" si="19"/>
        <v>15901</v>
      </c>
      <c r="F62" s="269">
        <f t="shared" si="19"/>
        <v>0</v>
      </c>
      <c r="G62" s="269">
        <f t="shared" si="19"/>
        <v>8590</v>
      </c>
      <c r="H62" s="269">
        <v>0</v>
      </c>
      <c r="I62" s="127">
        <f>SUM(C62:H62)</f>
        <v>61979</v>
      </c>
    </row>
    <row r="63" spans="2:10" s="221" customFormat="1" ht="12.75" customHeight="1" outlineLevel="1" x14ac:dyDescent="0.2">
      <c r="B63" s="271" t="s">
        <v>169</v>
      </c>
      <c r="C63" s="222">
        <v>0</v>
      </c>
      <c r="D63" s="222">
        <v>37488</v>
      </c>
      <c r="E63" s="222">
        <v>15901</v>
      </c>
      <c r="F63" s="222">
        <v>0</v>
      </c>
      <c r="G63" s="222">
        <v>8590</v>
      </c>
      <c r="H63" s="222">
        <v>0</v>
      </c>
      <c r="I63" s="228">
        <f t="shared" ref="I63:I69" si="20">SUM(C63:H63)</f>
        <v>61979</v>
      </c>
    </row>
    <row r="64" spans="2:10" outlineLevel="1" x14ac:dyDescent="0.2">
      <c r="B64" s="271" t="s">
        <v>170</v>
      </c>
      <c r="C64" s="222">
        <v>0</v>
      </c>
      <c r="D64" s="222">
        <v>0</v>
      </c>
      <c r="E64" s="222">
        <v>0</v>
      </c>
      <c r="F64" s="222">
        <v>0</v>
      </c>
      <c r="G64" s="222">
        <v>0</v>
      </c>
      <c r="H64" s="222">
        <v>0</v>
      </c>
      <c r="I64" s="228">
        <f t="shared" si="20"/>
        <v>0</v>
      </c>
    </row>
    <row r="65" spans="2:9" hidden="1" outlineLevel="1" x14ac:dyDescent="0.2">
      <c r="B65" s="271" t="s">
        <v>171</v>
      </c>
      <c r="C65" s="222"/>
      <c r="D65" s="222"/>
      <c r="E65" s="222"/>
      <c r="F65" s="222"/>
      <c r="G65" s="222"/>
      <c r="H65" s="222"/>
      <c r="I65" s="228">
        <f t="shared" si="20"/>
        <v>0</v>
      </c>
    </row>
    <row r="66" spans="2:9" hidden="1" outlineLevel="1" x14ac:dyDescent="0.2">
      <c r="B66" s="271" t="s">
        <v>168</v>
      </c>
      <c r="C66" s="222"/>
      <c r="D66" s="222"/>
      <c r="E66" s="222"/>
      <c r="F66" s="222"/>
      <c r="G66" s="222"/>
      <c r="H66" s="222"/>
      <c r="I66" s="228">
        <f t="shared" si="20"/>
        <v>0</v>
      </c>
    </row>
    <row r="67" spans="2:9" hidden="1" outlineLevel="1" x14ac:dyDescent="0.2">
      <c r="B67" s="271" t="s">
        <v>172</v>
      </c>
      <c r="C67" s="222"/>
      <c r="D67" s="222"/>
      <c r="E67" s="222"/>
      <c r="F67" s="222"/>
      <c r="G67" s="222"/>
      <c r="H67" s="222"/>
      <c r="I67" s="228">
        <f t="shared" si="20"/>
        <v>0</v>
      </c>
    </row>
    <row r="68" spans="2:9" outlineLevel="1" x14ac:dyDescent="0.2">
      <c r="B68" s="271" t="s">
        <v>555</v>
      </c>
      <c r="C68" s="222">
        <v>0</v>
      </c>
      <c r="D68" s="222">
        <v>0</v>
      </c>
      <c r="E68" s="222">
        <v>0</v>
      </c>
      <c r="F68" s="222">
        <v>0</v>
      </c>
      <c r="G68" s="222">
        <v>0</v>
      </c>
      <c r="H68" s="222">
        <v>0</v>
      </c>
      <c r="I68" s="127">
        <f t="shared" si="20"/>
        <v>0</v>
      </c>
    </row>
    <row r="69" spans="2:9" ht="10.8" outlineLevel="1" thickBot="1" x14ac:dyDescent="0.25">
      <c r="B69" s="429" t="s">
        <v>787</v>
      </c>
      <c r="C69" s="272">
        <f>C53+C54-C62</f>
        <v>0</v>
      </c>
      <c r="D69" s="272">
        <f t="shared" ref="D69:H69" si="21">D53+D54-D62</f>
        <v>267811</v>
      </c>
      <c r="E69" s="272">
        <f t="shared" si="21"/>
        <v>989754</v>
      </c>
      <c r="F69" s="272">
        <f t="shared" si="21"/>
        <v>182400</v>
      </c>
      <c r="G69" s="272">
        <f t="shared" si="21"/>
        <v>172652</v>
      </c>
      <c r="H69" s="272">
        <f t="shared" si="21"/>
        <v>17044</v>
      </c>
      <c r="I69" s="127">
        <f t="shared" si="20"/>
        <v>1629661</v>
      </c>
    </row>
    <row r="70" spans="2:9" ht="10.8" outlineLevel="1" thickTop="1" x14ac:dyDescent="0.2">
      <c r="B70" s="57" t="s">
        <v>788</v>
      </c>
      <c r="C70" s="220">
        <v>0</v>
      </c>
      <c r="D70" s="220">
        <v>49909</v>
      </c>
      <c r="E70" s="220">
        <v>354075</v>
      </c>
      <c r="F70" s="220">
        <v>56192</v>
      </c>
      <c r="G70" s="220">
        <v>44521</v>
      </c>
      <c r="H70" s="220">
        <v>0</v>
      </c>
      <c r="I70" s="127">
        <f>SUM(C70:H70)</f>
        <v>504697</v>
      </c>
    </row>
    <row r="71" spans="2:9" outlineLevel="1" x14ac:dyDescent="0.2">
      <c r="B71" s="268" t="s">
        <v>105</v>
      </c>
      <c r="C71" s="269">
        <f>SUM(C72:C74)</f>
        <v>0</v>
      </c>
      <c r="D71" s="269">
        <f t="shared" ref="D71:G71" si="22">SUM(D72:D74)</f>
        <v>22572</v>
      </c>
      <c r="E71" s="269">
        <f t="shared" si="22"/>
        <v>177942</v>
      </c>
      <c r="F71" s="269">
        <f t="shared" si="22"/>
        <v>36480</v>
      </c>
      <c r="G71" s="269">
        <f t="shared" si="22"/>
        <v>28721</v>
      </c>
      <c r="H71" s="269">
        <v>0</v>
      </c>
      <c r="I71" s="127">
        <f>SUM(C71:H71)</f>
        <v>265715</v>
      </c>
    </row>
    <row r="72" spans="2:9" outlineLevel="1" x14ac:dyDescent="0.2">
      <c r="B72" s="271" t="s">
        <v>173</v>
      </c>
      <c r="C72" s="222">
        <v>0</v>
      </c>
      <c r="D72" s="222">
        <v>22572</v>
      </c>
      <c r="E72" s="222">
        <v>177942</v>
      </c>
      <c r="F72" s="222">
        <v>36480</v>
      </c>
      <c r="G72" s="222">
        <v>28721</v>
      </c>
      <c r="H72" s="222">
        <v>0</v>
      </c>
      <c r="I72" s="127">
        <f>SUM(C72:H72)</f>
        <v>265715</v>
      </c>
    </row>
    <row r="73" spans="2:9" hidden="1" outlineLevel="1" x14ac:dyDescent="0.2">
      <c r="B73" s="271" t="s">
        <v>168</v>
      </c>
      <c r="C73" s="222"/>
      <c r="D73" s="222"/>
      <c r="E73" s="222"/>
      <c r="F73" s="222"/>
      <c r="G73" s="222"/>
      <c r="H73" s="222"/>
      <c r="I73" s="127">
        <f t="shared" ref="I73:I79" si="23">SUM(C73:G73)</f>
        <v>0</v>
      </c>
    </row>
    <row r="74" spans="2:9" outlineLevel="1" x14ac:dyDescent="0.2">
      <c r="B74" s="271" t="s">
        <v>555</v>
      </c>
      <c r="C74" s="222">
        <v>0</v>
      </c>
      <c r="D74" s="222">
        <v>0</v>
      </c>
      <c r="E74" s="222">
        <v>0</v>
      </c>
      <c r="F74" s="222">
        <v>0</v>
      </c>
      <c r="G74" s="222">
        <v>0</v>
      </c>
      <c r="H74" s="222">
        <v>0</v>
      </c>
      <c r="I74" s="127">
        <f>SUM(C74:H74)</f>
        <v>0</v>
      </c>
    </row>
    <row r="75" spans="2:9" outlineLevel="1" x14ac:dyDescent="0.2">
      <c r="B75" s="268" t="s">
        <v>104</v>
      </c>
      <c r="C75" s="269">
        <f>SUM(C76:C79)</f>
        <v>0</v>
      </c>
      <c r="D75" s="269">
        <f t="shared" ref="D75:G75" si="24">SUM(D76:D79)</f>
        <v>9198</v>
      </c>
      <c r="E75" s="269">
        <f t="shared" si="24"/>
        <v>9517</v>
      </c>
      <c r="F75" s="269">
        <f t="shared" si="24"/>
        <v>0</v>
      </c>
      <c r="G75" s="269">
        <f t="shared" si="24"/>
        <v>4163</v>
      </c>
      <c r="H75" s="269">
        <v>0</v>
      </c>
      <c r="I75" s="127">
        <f>SUM(C75:H75)</f>
        <v>22878</v>
      </c>
    </row>
    <row r="76" spans="2:9" outlineLevel="1" x14ac:dyDescent="0.2">
      <c r="B76" s="271" t="s">
        <v>170</v>
      </c>
      <c r="C76" s="222">
        <v>0</v>
      </c>
      <c r="D76" s="222">
        <v>9198</v>
      </c>
      <c r="E76" s="222">
        <v>9517</v>
      </c>
      <c r="F76" s="222">
        <v>0</v>
      </c>
      <c r="G76" s="222">
        <v>4163</v>
      </c>
      <c r="H76" s="222">
        <v>0</v>
      </c>
      <c r="I76" s="127">
        <f>SUM(C76:H76)</f>
        <v>22878</v>
      </c>
    </row>
    <row r="77" spans="2:9" hidden="1" outlineLevel="1" x14ac:dyDescent="0.2">
      <c r="B77" s="271" t="s">
        <v>174</v>
      </c>
      <c r="C77" s="222"/>
      <c r="D77" s="222"/>
      <c r="E77" s="222"/>
      <c r="F77" s="222"/>
      <c r="G77" s="222"/>
      <c r="H77" s="222"/>
      <c r="I77" s="127">
        <f t="shared" si="23"/>
        <v>0</v>
      </c>
    </row>
    <row r="78" spans="2:9" hidden="1" outlineLevel="1" x14ac:dyDescent="0.2">
      <c r="B78" s="271" t="s">
        <v>168</v>
      </c>
      <c r="C78" s="222"/>
      <c r="D78" s="222"/>
      <c r="E78" s="222"/>
      <c r="F78" s="222"/>
      <c r="G78" s="222"/>
      <c r="H78" s="222"/>
      <c r="I78" s="127">
        <f t="shared" si="23"/>
        <v>0</v>
      </c>
    </row>
    <row r="79" spans="2:9" s="221" customFormat="1" hidden="1" outlineLevel="1" x14ac:dyDescent="0.2">
      <c r="B79" s="271" t="s">
        <v>555</v>
      </c>
      <c r="C79" s="222"/>
      <c r="D79" s="222"/>
      <c r="E79" s="222"/>
      <c r="F79" s="222"/>
      <c r="G79" s="222"/>
      <c r="H79" s="222"/>
      <c r="I79" s="127">
        <f t="shared" si="23"/>
        <v>0</v>
      </c>
    </row>
    <row r="80" spans="2:9" ht="10.8" outlineLevel="1" thickBot="1" x14ac:dyDescent="0.25">
      <c r="B80" s="429" t="s">
        <v>789</v>
      </c>
      <c r="C80" s="273">
        <f>C70+C71-C75</f>
        <v>0</v>
      </c>
      <c r="D80" s="273">
        <f t="shared" ref="D80:H80" si="25">D70+D71-D75</f>
        <v>63283</v>
      </c>
      <c r="E80" s="273">
        <f t="shared" si="25"/>
        <v>522500</v>
      </c>
      <c r="F80" s="273">
        <f t="shared" si="25"/>
        <v>92672</v>
      </c>
      <c r="G80" s="273">
        <f t="shared" si="25"/>
        <v>69079</v>
      </c>
      <c r="H80" s="273">
        <f t="shared" si="25"/>
        <v>0</v>
      </c>
      <c r="I80" s="273">
        <f>SUM(C80:H80)</f>
        <v>747534</v>
      </c>
    </row>
    <row r="81" spans="2:10" ht="12.75" customHeight="1" outlineLevel="1" thickTop="1" thickBot="1" x14ac:dyDescent="0.25">
      <c r="B81" s="429" t="s">
        <v>790</v>
      </c>
      <c r="C81" s="272">
        <f>C69-C80</f>
        <v>0</v>
      </c>
      <c r="D81" s="272">
        <f t="shared" ref="D81:H81" si="26">D69-D80</f>
        <v>204528</v>
      </c>
      <c r="E81" s="272">
        <f t="shared" si="26"/>
        <v>467254</v>
      </c>
      <c r="F81" s="272">
        <f t="shared" si="26"/>
        <v>89728</v>
      </c>
      <c r="G81" s="272">
        <f t="shared" si="26"/>
        <v>103573</v>
      </c>
      <c r="H81" s="272">
        <f t="shared" si="26"/>
        <v>17044</v>
      </c>
      <c r="I81" s="272">
        <f>SUM(C81:H81)</f>
        <v>882127</v>
      </c>
      <c r="J81" s="318">
        <f>I81-Aktywa!E4</f>
        <v>0</v>
      </c>
    </row>
    <row r="82" spans="2:10" ht="10.8" outlineLevel="1" thickTop="1" x14ac:dyDescent="0.2"/>
    <row r="83" spans="2:10" outlineLevel="1" x14ac:dyDescent="0.2"/>
    <row r="84" spans="2:10" outlineLevel="1" x14ac:dyDescent="0.2"/>
    <row r="85" spans="2:10" outlineLevel="1" x14ac:dyDescent="0.2"/>
    <row r="86" spans="2:10" outlineLevel="1" x14ac:dyDescent="0.2"/>
    <row r="87" spans="2:10" outlineLevel="1" x14ac:dyDescent="0.2"/>
    <row r="88" spans="2:10" outlineLevel="1" x14ac:dyDescent="0.2"/>
    <row r="89" spans="2:10" outlineLevel="1" x14ac:dyDescent="0.2"/>
    <row r="90" spans="2:10" outlineLevel="1" x14ac:dyDescent="0.2"/>
    <row r="91" spans="2:10" ht="11.25" customHeight="1" outlineLevel="1" x14ac:dyDescent="0.2"/>
    <row r="92" spans="2:10" ht="12.75" customHeight="1" outlineLevel="1" x14ac:dyDescent="0.2"/>
    <row r="93" spans="2:10" ht="11.25" customHeight="1" outlineLevel="1" x14ac:dyDescent="0.2"/>
    <row r="94" spans="2:10" ht="11.25" customHeight="1" outlineLevel="1" x14ac:dyDescent="0.2"/>
    <row r="95" spans="2:10" ht="12.75" customHeight="1" outlineLevel="1" x14ac:dyDescent="0.2"/>
    <row r="96" spans="2:10" outlineLevel="1" x14ac:dyDescent="0.2"/>
    <row r="97" spans="2:10" outlineLevel="1" x14ac:dyDescent="0.2"/>
    <row r="98" spans="2:10" outlineLevel="1" x14ac:dyDescent="0.2"/>
    <row r="99" spans="2:10" outlineLevel="1" x14ac:dyDescent="0.2"/>
    <row r="100" spans="2:10" ht="13.8" customHeight="1" outlineLevel="1" x14ac:dyDescent="0.2"/>
    <row r="101" spans="2:10" s="221" customFormat="1" outlineLevel="1" x14ac:dyDescent="0.2">
      <c r="B101" s="218"/>
      <c r="C101" s="218"/>
      <c r="D101" s="218"/>
      <c r="E101" s="218"/>
      <c r="F101" s="218"/>
      <c r="G101" s="218"/>
      <c r="H101" s="218"/>
      <c r="I101" s="218"/>
    </row>
    <row r="102" spans="2:10" s="221" customFormat="1" outlineLevel="1" x14ac:dyDescent="0.2">
      <c r="B102" s="218"/>
      <c r="C102" s="218"/>
      <c r="D102" s="218"/>
      <c r="E102" s="218"/>
      <c r="F102" s="218"/>
      <c r="G102" s="218"/>
      <c r="H102" s="218"/>
      <c r="I102" s="218"/>
      <c r="J102" s="428"/>
    </row>
    <row r="107" spans="2:10" s="221" customFormat="1" ht="11.25" customHeight="1" x14ac:dyDescent="0.2">
      <c r="B107" s="218"/>
      <c r="C107" s="218"/>
      <c r="D107" s="218"/>
      <c r="E107" s="218"/>
      <c r="F107" s="218"/>
      <c r="G107" s="218"/>
      <c r="H107" s="218"/>
      <c r="I107" s="218"/>
    </row>
    <row r="108" spans="2:10" s="221" customFormat="1" x14ac:dyDescent="0.2">
      <c r="B108" s="218"/>
      <c r="C108" s="218"/>
      <c r="D108" s="218"/>
      <c r="E108" s="218"/>
      <c r="F108" s="218"/>
      <c r="G108" s="218"/>
      <c r="H108" s="218"/>
      <c r="I108" s="218"/>
    </row>
    <row r="109" spans="2:10" s="221" customFormat="1" ht="22.8" customHeight="1" x14ac:dyDescent="0.2">
      <c r="B109" s="218"/>
      <c r="C109" s="218"/>
      <c r="D109" s="218"/>
      <c r="E109" s="218"/>
      <c r="F109" s="218"/>
      <c r="G109" s="218"/>
      <c r="H109" s="218"/>
      <c r="I109" s="218"/>
    </row>
    <row r="113" ht="12.75" customHeight="1" x14ac:dyDescent="0.2"/>
    <row r="115" ht="17.25" customHeight="1" x14ac:dyDescent="0.2"/>
    <row r="119" ht="11.25" customHeight="1" x14ac:dyDescent="0.2"/>
    <row r="129" spans="2:9" s="221" customFormat="1" x14ac:dyDescent="0.2">
      <c r="B129" s="218"/>
      <c r="C129" s="218"/>
      <c r="D129" s="218"/>
      <c r="E129" s="218"/>
      <c r="F129" s="218"/>
      <c r="G129" s="218"/>
      <c r="H129" s="218"/>
      <c r="I129" s="218"/>
    </row>
    <row r="130" spans="2:9" s="221" customFormat="1" x14ac:dyDescent="0.2">
      <c r="B130" s="218"/>
      <c r="C130" s="218"/>
      <c r="D130" s="218"/>
      <c r="E130" s="218"/>
      <c r="F130" s="218"/>
      <c r="G130" s="218"/>
      <c r="H130" s="218"/>
      <c r="I130" s="218"/>
    </row>
    <row r="150" ht="11.25" customHeight="1" x14ac:dyDescent="0.2"/>
    <row r="151" ht="11.25" customHeight="1" x14ac:dyDescent="0.2"/>
    <row r="156" ht="11.25" customHeight="1" x14ac:dyDescent="0.2"/>
    <row r="157" ht="11.25" customHeight="1" x14ac:dyDescent="0.2"/>
    <row r="162" ht="11.25" customHeight="1" x14ac:dyDescent="0.2"/>
  </sheetData>
  <phoneticPr fontId="28" type="noConversion"/>
  <pageMargins left="0.70866141732283472" right="0.70866141732283472" top="0.74803149606299213" bottom="0.74803149606299213" header="0.31496062992125984" footer="0.31496062992125984"/>
  <pageSetup paperSize="9" scale="34" orientation="landscape" r:id="rId1"/>
  <headerFooter alignWithMargins="0"/>
  <rowBreaks count="1" manualBreakCount="1">
    <brk id="58" min="1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B1:P139"/>
  <sheetViews>
    <sheetView showGridLines="0" view="pageBreakPreview" topLeftCell="A38" zoomScaleNormal="100" zoomScaleSheetLayoutView="100" workbookViewId="0">
      <selection activeCell="O72" sqref="O72"/>
    </sheetView>
  </sheetViews>
  <sheetFormatPr defaultColWidth="9.33203125" defaultRowHeight="10.199999999999999" outlineLevelRow="1" x14ac:dyDescent="0.2"/>
  <cols>
    <col min="1" max="1" width="3.44140625" style="588" customWidth="1"/>
    <col min="2" max="2" width="41.33203125" style="588" customWidth="1"/>
    <col min="3" max="3" width="14.6640625" style="588" customWidth="1"/>
    <col min="4" max="6" width="14.6640625" style="588" hidden="1" customWidth="1"/>
    <col min="7" max="7" width="14.6640625" style="588" customWidth="1"/>
    <col min="8" max="8" width="14.6640625" style="588" hidden="1" customWidth="1"/>
    <col min="9" max="9" width="14.6640625" style="588" customWidth="1"/>
    <col min="10" max="10" width="11.33203125" style="588" customWidth="1"/>
    <col min="11" max="16384" width="9.33203125" style="588"/>
  </cols>
  <sheetData>
    <row r="1" spans="2:10" x14ac:dyDescent="0.2">
      <c r="B1" s="587"/>
    </row>
    <row r="2" spans="2:10" ht="16.5" customHeight="1" x14ac:dyDescent="0.25">
      <c r="B2" s="412" t="s">
        <v>963</v>
      </c>
    </row>
    <row r="3" spans="2:10" ht="12" customHeight="1" x14ac:dyDescent="0.2">
      <c r="B3" s="3"/>
    </row>
    <row r="4" spans="2:10" x14ac:dyDescent="0.2">
      <c r="B4" s="52" t="s">
        <v>839</v>
      </c>
    </row>
    <row r="5" spans="2:10" x14ac:dyDescent="0.2">
      <c r="B5" s="52"/>
    </row>
    <row r="6" spans="2:10" s="107" customFormat="1" ht="30.6" outlineLevel="1" x14ac:dyDescent="0.25">
      <c r="B6" s="73" t="s">
        <v>353</v>
      </c>
      <c r="C6" s="594" t="s">
        <v>176</v>
      </c>
      <c r="D6" s="73" t="s">
        <v>762</v>
      </c>
      <c r="E6" s="594" t="s">
        <v>761</v>
      </c>
      <c r="F6" s="73" t="s">
        <v>179</v>
      </c>
      <c r="G6" s="594" t="s">
        <v>760</v>
      </c>
      <c r="H6" s="594" t="s">
        <v>246</v>
      </c>
      <c r="I6" s="594" t="s">
        <v>926</v>
      </c>
      <c r="J6" s="594" t="s">
        <v>417</v>
      </c>
    </row>
    <row r="7" spans="2:10" ht="12.75" customHeight="1" outlineLevel="1" x14ac:dyDescent="0.2">
      <c r="B7" s="349" t="s">
        <v>840</v>
      </c>
      <c r="C7" s="162">
        <f>C58</f>
        <v>2250155</v>
      </c>
      <c r="D7" s="162">
        <f>D58</f>
        <v>0</v>
      </c>
      <c r="E7" s="162">
        <f>E58</f>
        <v>0</v>
      </c>
      <c r="F7" s="162">
        <f>F58</f>
        <v>0</v>
      </c>
      <c r="G7" s="162">
        <f>G58</f>
        <v>13766100</v>
      </c>
      <c r="H7" s="162">
        <f t="shared" ref="H7:I7" si="0">H58</f>
        <v>0</v>
      </c>
      <c r="I7" s="162">
        <f t="shared" si="0"/>
        <v>1628895</v>
      </c>
      <c r="J7" s="374">
        <f>SUM(C7:I7)</f>
        <v>17645150</v>
      </c>
    </row>
    <row r="8" spans="2:10" ht="12.75" customHeight="1" outlineLevel="1" x14ac:dyDescent="0.2">
      <c r="B8" s="545" t="s">
        <v>874</v>
      </c>
      <c r="C8" s="162">
        <v>13115775</v>
      </c>
      <c r="D8" s="162"/>
      <c r="E8" s="162"/>
      <c r="F8" s="162"/>
      <c r="G8" s="162">
        <v>1006301</v>
      </c>
      <c r="H8" s="374"/>
      <c r="I8" s="374">
        <v>604937</v>
      </c>
      <c r="J8" s="374">
        <f t="shared" ref="J8:J10" si="1">SUM(C8:I8)</f>
        <v>14727013</v>
      </c>
    </row>
    <row r="9" spans="2:10" ht="24.75" customHeight="1" outlineLevel="1" x14ac:dyDescent="0.2">
      <c r="B9" s="464" t="s">
        <v>871</v>
      </c>
      <c r="C9" s="162">
        <f>C7+C8</f>
        <v>15365930</v>
      </c>
      <c r="D9" s="162">
        <f t="shared" ref="D9:I9" si="2">D7+D8</f>
        <v>0</v>
      </c>
      <c r="E9" s="162">
        <f t="shared" si="2"/>
        <v>0</v>
      </c>
      <c r="F9" s="162">
        <f t="shared" si="2"/>
        <v>0</v>
      </c>
      <c r="G9" s="162">
        <f t="shared" si="2"/>
        <v>14772401</v>
      </c>
      <c r="H9" s="162">
        <f t="shared" si="2"/>
        <v>0</v>
      </c>
      <c r="I9" s="162">
        <f t="shared" si="2"/>
        <v>2233832</v>
      </c>
      <c r="J9" s="374">
        <f t="shared" si="1"/>
        <v>32372163</v>
      </c>
    </row>
    <row r="10" spans="2:10" s="89" customFormat="1" outlineLevel="1" x14ac:dyDescent="0.2">
      <c r="B10" s="213" t="s">
        <v>105</v>
      </c>
      <c r="C10" s="211">
        <f t="shared" ref="C10:I10" si="3">SUM(C11:C14)</f>
        <v>4654973</v>
      </c>
      <c r="D10" s="211">
        <f t="shared" si="3"/>
        <v>0</v>
      </c>
      <c r="E10" s="211">
        <f t="shared" si="3"/>
        <v>0</v>
      </c>
      <c r="F10" s="211">
        <f t="shared" si="3"/>
        <v>0</v>
      </c>
      <c r="G10" s="211">
        <f t="shared" si="3"/>
        <v>791487</v>
      </c>
      <c r="H10" s="211">
        <f t="shared" si="3"/>
        <v>0</v>
      </c>
      <c r="I10" s="211">
        <f t="shared" si="3"/>
        <v>4479094</v>
      </c>
      <c r="J10" s="374">
        <f t="shared" si="1"/>
        <v>9925554</v>
      </c>
    </row>
    <row r="11" spans="2:10" outlineLevel="1" x14ac:dyDescent="0.2">
      <c r="B11" s="328" t="s">
        <v>489</v>
      </c>
      <c r="C11" s="209">
        <v>0</v>
      </c>
      <c r="D11" s="209">
        <v>0</v>
      </c>
      <c r="E11" s="209">
        <v>0</v>
      </c>
      <c r="F11" s="209">
        <v>0</v>
      </c>
      <c r="G11" s="209">
        <v>791487</v>
      </c>
      <c r="H11" s="228">
        <v>0</v>
      </c>
      <c r="I11" s="228">
        <v>0</v>
      </c>
      <c r="J11" s="228">
        <f>SUM(C11:I12)</f>
        <v>791487</v>
      </c>
    </row>
    <row r="12" spans="2:10" hidden="1" outlineLevel="1" x14ac:dyDescent="0.2">
      <c r="B12" s="375" t="s">
        <v>168</v>
      </c>
      <c r="C12" s="209"/>
      <c r="D12" s="209"/>
      <c r="E12" s="209"/>
      <c r="F12" s="209"/>
      <c r="G12" s="209"/>
      <c r="H12" s="228"/>
      <c r="I12" s="228"/>
      <c r="J12" s="228">
        <f t="shared" ref="J12:J14" si="4">SUM(C12:I13)</f>
        <v>9117003</v>
      </c>
    </row>
    <row r="13" spans="2:10" outlineLevel="1" x14ac:dyDescent="0.2">
      <c r="B13" s="375" t="s">
        <v>759</v>
      </c>
      <c r="C13" s="209">
        <v>4637909</v>
      </c>
      <c r="D13" s="209">
        <v>0</v>
      </c>
      <c r="E13" s="209">
        <v>0</v>
      </c>
      <c r="F13" s="209">
        <v>0</v>
      </c>
      <c r="G13" s="209">
        <v>0</v>
      </c>
      <c r="H13" s="228">
        <v>0</v>
      </c>
      <c r="I13" s="228">
        <v>4479094</v>
      </c>
      <c r="J13" s="228">
        <f t="shared" si="4"/>
        <v>9134067</v>
      </c>
    </row>
    <row r="14" spans="2:10" outlineLevel="1" x14ac:dyDescent="0.2">
      <c r="B14" s="328" t="s">
        <v>555</v>
      </c>
      <c r="C14" s="209">
        <v>17064</v>
      </c>
      <c r="D14" s="209">
        <v>0</v>
      </c>
      <c r="E14" s="209">
        <v>0</v>
      </c>
      <c r="F14" s="209"/>
      <c r="G14" s="209">
        <v>0</v>
      </c>
      <c r="H14" s="228">
        <v>0</v>
      </c>
      <c r="I14" s="228">
        <v>0</v>
      </c>
      <c r="J14" s="228">
        <f t="shared" si="4"/>
        <v>15755499</v>
      </c>
    </row>
    <row r="15" spans="2:10" s="89" customFormat="1" outlineLevel="1" x14ac:dyDescent="0.2">
      <c r="B15" s="213" t="s">
        <v>104</v>
      </c>
      <c r="C15" s="211">
        <f t="shared" ref="C15:I15" si="5">SUM(C16:C19)</f>
        <v>10675796</v>
      </c>
      <c r="D15" s="211">
        <f t="shared" si="5"/>
        <v>0</v>
      </c>
      <c r="E15" s="211">
        <f t="shared" si="5"/>
        <v>0</v>
      </c>
      <c r="F15" s="211">
        <f t="shared" si="5"/>
        <v>0</v>
      </c>
      <c r="G15" s="211">
        <f t="shared" si="5"/>
        <v>333250</v>
      </c>
      <c r="H15" s="211">
        <f t="shared" si="5"/>
        <v>0</v>
      </c>
      <c r="I15" s="211">
        <f t="shared" si="5"/>
        <v>4729389</v>
      </c>
      <c r="J15" s="374">
        <f t="shared" ref="J15" si="6">SUM(C15:I15)</f>
        <v>15738435</v>
      </c>
    </row>
    <row r="16" spans="2:10" outlineLevel="1" x14ac:dyDescent="0.2">
      <c r="B16" s="328" t="s">
        <v>927</v>
      </c>
      <c r="C16" s="209">
        <v>0</v>
      </c>
      <c r="D16" s="209">
        <v>0</v>
      </c>
      <c r="E16" s="209">
        <v>0</v>
      </c>
      <c r="F16" s="209"/>
      <c r="G16" s="209">
        <v>0</v>
      </c>
      <c r="H16" s="228">
        <v>0</v>
      </c>
      <c r="I16" s="228">
        <v>4729389</v>
      </c>
      <c r="J16" s="228">
        <f>SUM(C16:I16)</f>
        <v>4729389</v>
      </c>
    </row>
    <row r="17" spans="2:12" outlineLevel="1" x14ac:dyDescent="0.2">
      <c r="B17" s="375" t="s">
        <v>170</v>
      </c>
      <c r="C17" s="209">
        <v>10675796</v>
      </c>
      <c r="D17" s="209">
        <v>0</v>
      </c>
      <c r="E17" s="209">
        <v>0</v>
      </c>
      <c r="F17" s="209">
        <v>0</v>
      </c>
      <c r="G17" s="209">
        <f>333250-G19</f>
        <v>320750</v>
      </c>
      <c r="H17" s="228">
        <v>0</v>
      </c>
      <c r="I17" s="228">
        <v>0</v>
      </c>
      <c r="J17" s="228">
        <f t="shared" ref="J17:J19" si="7">SUM(C17:I17)</f>
        <v>10996546</v>
      </c>
    </row>
    <row r="18" spans="2:12" hidden="1" outlineLevel="1" x14ac:dyDescent="0.2">
      <c r="B18" s="328" t="s">
        <v>168</v>
      </c>
      <c r="C18" s="209"/>
      <c r="D18" s="209"/>
      <c r="E18" s="209"/>
      <c r="F18" s="209"/>
      <c r="G18" s="209"/>
      <c r="H18" s="228"/>
      <c r="I18" s="228"/>
      <c r="J18" s="228">
        <f t="shared" si="7"/>
        <v>0</v>
      </c>
    </row>
    <row r="19" spans="2:12" outlineLevel="1" x14ac:dyDescent="0.2">
      <c r="B19" s="328" t="s">
        <v>555</v>
      </c>
      <c r="C19" s="209">
        <v>0</v>
      </c>
      <c r="D19" s="209"/>
      <c r="E19" s="209"/>
      <c r="F19" s="209"/>
      <c r="G19" s="209">
        <v>12500</v>
      </c>
      <c r="H19" s="228"/>
      <c r="I19" s="228">
        <v>0</v>
      </c>
      <c r="J19" s="228">
        <f t="shared" si="7"/>
        <v>12500</v>
      </c>
    </row>
    <row r="20" spans="2:12" ht="14.25" customHeight="1" outlineLevel="1" thickBot="1" x14ac:dyDescent="0.25">
      <c r="B20" s="429" t="str">
        <f>'[6]NOTA 13 -Rzeczowe aktywa trwałe'!B54</f>
        <v>Wartość bilansowa brutto na dzień 31.12.2018</v>
      </c>
      <c r="C20" s="163">
        <f>C9+C10-C15</f>
        <v>9345107</v>
      </c>
      <c r="D20" s="163">
        <f t="shared" ref="D20:H20" si="8">D9+D10-D15</f>
        <v>0</v>
      </c>
      <c r="E20" s="163">
        <f t="shared" si="8"/>
        <v>0</v>
      </c>
      <c r="F20" s="163">
        <f t="shared" si="8"/>
        <v>0</v>
      </c>
      <c r="G20" s="163">
        <f t="shared" si="8"/>
        <v>15230638</v>
      </c>
      <c r="H20" s="163">
        <f t="shared" si="8"/>
        <v>0</v>
      </c>
      <c r="I20" s="163">
        <f>I9+I10-I15</f>
        <v>1983537</v>
      </c>
      <c r="J20" s="373">
        <f>J9+J10-J15</f>
        <v>26559282</v>
      </c>
      <c r="L20" s="383"/>
    </row>
    <row r="21" spans="2:12" ht="14.25" customHeight="1" outlineLevel="1" thickTop="1" x14ac:dyDescent="0.25">
      <c r="B21" s="600" t="s">
        <v>928</v>
      </c>
      <c r="C21" s="380">
        <v>0</v>
      </c>
      <c r="D21" s="380"/>
      <c r="E21" s="380"/>
      <c r="F21" s="380"/>
      <c r="G21" s="380">
        <v>0</v>
      </c>
      <c r="H21" s="380"/>
      <c r="I21" s="380">
        <v>0</v>
      </c>
      <c r="J21" s="601">
        <f>SUM(C21:I21)</f>
        <v>0</v>
      </c>
      <c r="L21" s="383"/>
    </row>
    <row r="22" spans="2:12" ht="14.25" customHeight="1" outlineLevel="1" x14ac:dyDescent="0.2">
      <c r="B22" s="545" t="s">
        <v>874</v>
      </c>
      <c r="C22" s="522">
        <v>2402234</v>
      </c>
      <c r="D22" s="380"/>
      <c r="E22" s="380"/>
      <c r="F22" s="380"/>
      <c r="G22" s="522">
        <v>0</v>
      </c>
      <c r="H22" s="380"/>
      <c r="I22" s="522">
        <v>406337</v>
      </c>
      <c r="J22" s="601">
        <f>SUM(C22:I22)</f>
        <v>2808571</v>
      </c>
      <c r="L22" s="383"/>
    </row>
    <row r="23" spans="2:12" ht="23.25" customHeight="1" outlineLevel="1" x14ac:dyDescent="0.25">
      <c r="B23" s="602" t="s">
        <v>929</v>
      </c>
      <c r="C23" s="380">
        <f>C21+C22</f>
        <v>2402234</v>
      </c>
      <c r="D23" s="380">
        <f t="shared" ref="D23:I23" si="9">D21+D22</f>
        <v>0</v>
      </c>
      <c r="E23" s="380">
        <f t="shared" si="9"/>
        <v>0</v>
      </c>
      <c r="F23" s="380">
        <f t="shared" si="9"/>
        <v>0</v>
      </c>
      <c r="G23" s="380">
        <f t="shared" si="9"/>
        <v>0</v>
      </c>
      <c r="H23" s="380">
        <f t="shared" si="9"/>
        <v>0</v>
      </c>
      <c r="I23" s="380">
        <f t="shared" si="9"/>
        <v>406337</v>
      </c>
      <c r="J23" s="601">
        <f t="shared" ref="J23:J26" si="10">SUM(C23:I23)</f>
        <v>2808571</v>
      </c>
      <c r="L23" s="383"/>
    </row>
    <row r="24" spans="2:12" ht="14.25" customHeight="1" outlineLevel="1" x14ac:dyDescent="0.25">
      <c r="B24" s="603" t="s">
        <v>930</v>
      </c>
      <c r="C24" s="522">
        <v>17064</v>
      </c>
      <c r="D24" s="522"/>
      <c r="E24" s="522"/>
      <c r="F24" s="522"/>
      <c r="G24" s="522">
        <v>150000</v>
      </c>
      <c r="H24" s="522"/>
      <c r="I24" s="522">
        <v>0</v>
      </c>
      <c r="J24" s="601">
        <f t="shared" si="10"/>
        <v>167064</v>
      </c>
      <c r="L24" s="383"/>
    </row>
    <row r="25" spans="2:12" ht="14.25" customHeight="1" outlineLevel="1" x14ac:dyDescent="0.25">
      <c r="B25" s="603" t="s">
        <v>240</v>
      </c>
      <c r="C25" s="522">
        <v>1822761</v>
      </c>
      <c r="D25" s="522"/>
      <c r="E25" s="522"/>
      <c r="F25" s="522"/>
      <c r="G25" s="522">
        <v>0</v>
      </c>
      <c r="H25" s="522"/>
      <c r="I25" s="522">
        <v>0</v>
      </c>
      <c r="J25" s="601">
        <f t="shared" si="10"/>
        <v>1822761</v>
      </c>
      <c r="L25" s="383"/>
    </row>
    <row r="26" spans="2:12" ht="16.5" customHeight="1" outlineLevel="1" thickBot="1" x14ac:dyDescent="0.25">
      <c r="B26" s="429" t="s">
        <v>931</v>
      </c>
      <c r="C26" s="163">
        <f>C23+C24-C25</f>
        <v>596537</v>
      </c>
      <c r="D26" s="163">
        <f t="shared" ref="D26:I26" si="11">D23+D24-D25</f>
        <v>0</v>
      </c>
      <c r="E26" s="163">
        <f t="shared" si="11"/>
        <v>0</v>
      </c>
      <c r="F26" s="163">
        <f t="shared" si="11"/>
        <v>0</v>
      </c>
      <c r="G26" s="163">
        <f t="shared" si="11"/>
        <v>150000</v>
      </c>
      <c r="H26" s="163">
        <f t="shared" si="11"/>
        <v>0</v>
      </c>
      <c r="I26" s="163">
        <f t="shared" si="11"/>
        <v>406337</v>
      </c>
      <c r="J26" s="601">
        <f t="shared" si="10"/>
        <v>1152874</v>
      </c>
    </row>
    <row r="27" spans="2:12" ht="10.8" outlineLevel="1" thickTop="1" x14ac:dyDescent="0.2">
      <c r="B27" s="57" t="str">
        <f>'[6]NOTA 13 -Rzeczowe aktywa trwałe'!B55</f>
        <v>Umorzenie na dzień 01.01.2018</v>
      </c>
      <c r="C27" s="92">
        <f t="shared" ref="C27:I27" si="12">C69</f>
        <v>292599</v>
      </c>
      <c r="D27" s="92">
        <f t="shared" si="12"/>
        <v>0</v>
      </c>
      <c r="E27" s="92">
        <f t="shared" si="12"/>
        <v>0</v>
      </c>
      <c r="F27" s="92">
        <f t="shared" si="12"/>
        <v>0</v>
      </c>
      <c r="G27" s="92">
        <f t="shared" si="12"/>
        <v>2639770</v>
      </c>
      <c r="H27" s="92">
        <f t="shared" si="12"/>
        <v>0</v>
      </c>
      <c r="I27" s="92">
        <f t="shared" si="12"/>
        <v>0</v>
      </c>
      <c r="J27" s="127">
        <f>SUM(C27:I27)</f>
        <v>2932369</v>
      </c>
    </row>
    <row r="28" spans="2:12" outlineLevel="1" x14ac:dyDescent="0.2">
      <c r="B28" s="545" t="s">
        <v>874</v>
      </c>
      <c r="C28" s="92">
        <f>9490249+1525</f>
        <v>9491774</v>
      </c>
      <c r="D28" s="92"/>
      <c r="E28" s="92"/>
      <c r="F28" s="92"/>
      <c r="G28" s="92">
        <v>887977</v>
      </c>
      <c r="H28" s="127"/>
      <c r="I28" s="127">
        <v>0</v>
      </c>
      <c r="J28" s="127">
        <f t="shared" ref="J28:J30" si="13">SUM(C28:I28)</f>
        <v>10379751</v>
      </c>
    </row>
    <row r="29" spans="2:12" ht="20.399999999999999" outlineLevel="1" x14ac:dyDescent="0.2">
      <c r="B29" s="464" t="s">
        <v>870</v>
      </c>
      <c r="C29" s="92">
        <f>C28+C27</f>
        <v>9784373</v>
      </c>
      <c r="D29" s="92">
        <f t="shared" ref="D29:I29" si="14">D28+D27</f>
        <v>0</v>
      </c>
      <c r="E29" s="92">
        <f t="shared" si="14"/>
        <v>0</v>
      </c>
      <c r="F29" s="92">
        <f t="shared" si="14"/>
        <v>0</v>
      </c>
      <c r="G29" s="92">
        <f t="shared" si="14"/>
        <v>3527747</v>
      </c>
      <c r="H29" s="92">
        <f t="shared" si="14"/>
        <v>0</v>
      </c>
      <c r="I29" s="92">
        <f t="shared" si="14"/>
        <v>0</v>
      </c>
      <c r="J29" s="127">
        <f t="shared" si="13"/>
        <v>13312120</v>
      </c>
      <c r="K29" s="383"/>
    </row>
    <row r="30" spans="2:12" s="89" customFormat="1" outlineLevel="1" x14ac:dyDescent="0.2">
      <c r="B30" s="213" t="s">
        <v>105</v>
      </c>
      <c r="C30" s="211">
        <f>SUM(C31:C33)</f>
        <v>958753</v>
      </c>
      <c r="D30" s="211">
        <f t="shared" ref="D30:H30" si="15">SUM(D31:D33)</f>
        <v>0</v>
      </c>
      <c r="E30" s="211">
        <f t="shared" si="15"/>
        <v>0</v>
      </c>
      <c r="F30" s="211">
        <f t="shared" si="15"/>
        <v>0</v>
      </c>
      <c r="G30" s="211">
        <f t="shared" si="15"/>
        <v>1172107</v>
      </c>
      <c r="H30" s="231">
        <f t="shared" si="15"/>
        <v>0</v>
      </c>
      <c r="I30" s="231">
        <v>0</v>
      </c>
      <c r="J30" s="127">
        <f t="shared" si="13"/>
        <v>2130860</v>
      </c>
      <c r="K30" s="604"/>
    </row>
    <row r="31" spans="2:12" outlineLevel="1" x14ac:dyDescent="0.2">
      <c r="B31" s="328" t="s">
        <v>173</v>
      </c>
      <c r="C31" s="209">
        <f>952245-1525+21592</f>
        <v>972312</v>
      </c>
      <c r="D31" s="209">
        <v>0</v>
      </c>
      <c r="E31" s="209">
        <v>0</v>
      </c>
      <c r="F31" s="209">
        <v>0</v>
      </c>
      <c r="G31" s="209">
        <f>1193699-21592</f>
        <v>1172107</v>
      </c>
      <c r="H31" s="228">
        <v>0</v>
      </c>
      <c r="I31" s="228">
        <v>0</v>
      </c>
      <c r="J31" s="228">
        <f>SUM(C31:I32)</f>
        <v>2144419</v>
      </c>
      <c r="K31" s="383"/>
      <c r="L31" s="383"/>
    </row>
    <row r="32" spans="2:12" hidden="1" outlineLevel="1" x14ac:dyDescent="0.2">
      <c r="B32" s="328" t="s">
        <v>168</v>
      </c>
      <c r="C32" s="209"/>
      <c r="D32" s="209"/>
      <c r="E32" s="209"/>
      <c r="F32" s="209"/>
      <c r="G32" s="209"/>
      <c r="H32" s="228"/>
      <c r="I32" s="228"/>
      <c r="J32" s="228">
        <f t="shared" ref="J32" si="16">SUM(C32:I33)</f>
        <v>-13559</v>
      </c>
    </row>
    <row r="33" spans="2:16" outlineLevel="1" x14ac:dyDescent="0.2">
      <c r="B33" s="328" t="s">
        <v>555</v>
      </c>
      <c r="C33" s="209">
        <v>-13559</v>
      </c>
      <c r="D33" s="209">
        <v>0</v>
      </c>
      <c r="E33" s="209">
        <v>0</v>
      </c>
      <c r="F33" s="209">
        <v>0</v>
      </c>
      <c r="G33" s="209">
        <v>0</v>
      </c>
      <c r="H33" s="228">
        <v>0</v>
      </c>
      <c r="I33" s="228">
        <v>0</v>
      </c>
      <c r="J33" s="228">
        <f>SUM(C33:I33)</f>
        <v>-13559</v>
      </c>
      <c r="L33" s="383"/>
    </row>
    <row r="34" spans="2:16" s="89" customFormat="1" outlineLevel="1" x14ac:dyDescent="0.2">
      <c r="B34" s="213" t="s">
        <v>104</v>
      </c>
      <c r="C34" s="211">
        <f t="shared" ref="C34:H34" si="17">SUM(C35:C38)</f>
        <v>8835978</v>
      </c>
      <c r="D34" s="211">
        <f t="shared" si="17"/>
        <v>0</v>
      </c>
      <c r="E34" s="211">
        <f t="shared" si="17"/>
        <v>0</v>
      </c>
      <c r="F34" s="211">
        <f t="shared" si="17"/>
        <v>0</v>
      </c>
      <c r="G34" s="211">
        <f t="shared" si="17"/>
        <v>215708</v>
      </c>
      <c r="H34" s="231">
        <f t="shared" si="17"/>
        <v>0</v>
      </c>
      <c r="I34" s="231">
        <v>0</v>
      </c>
      <c r="J34" s="127">
        <f t="shared" ref="J34" si="18">SUM(C34:I34)</f>
        <v>9051686</v>
      </c>
    </row>
    <row r="35" spans="2:16" hidden="1" outlineLevel="1" x14ac:dyDescent="0.2">
      <c r="B35" s="328" t="s">
        <v>170</v>
      </c>
      <c r="C35" s="209">
        <v>0</v>
      </c>
      <c r="D35" s="209">
        <v>0</v>
      </c>
      <c r="E35" s="209">
        <v>0</v>
      </c>
      <c r="F35" s="209">
        <v>0</v>
      </c>
      <c r="G35" s="209">
        <v>0</v>
      </c>
      <c r="H35" s="228">
        <v>0</v>
      </c>
      <c r="I35" s="228"/>
      <c r="J35" s="228">
        <f>SUM(C35:H35)</f>
        <v>0</v>
      </c>
    </row>
    <row r="36" spans="2:16" outlineLevel="1" x14ac:dyDescent="0.2">
      <c r="B36" s="328" t="s">
        <v>170</v>
      </c>
      <c r="C36" s="209">
        <v>8849537</v>
      </c>
      <c r="D36" s="209">
        <v>0</v>
      </c>
      <c r="E36" s="209">
        <v>0</v>
      </c>
      <c r="F36" s="209"/>
      <c r="G36" s="209">
        <v>215708</v>
      </c>
      <c r="H36" s="228">
        <v>0</v>
      </c>
      <c r="I36" s="228">
        <v>0</v>
      </c>
      <c r="J36" s="228">
        <f>SUM(C36:I37)</f>
        <v>9065245</v>
      </c>
    </row>
    <row r="37" spans="2:16" hidden="1" outlineLevel="1" x14ac:dyDescent="0.2">
      <c r="B37" s="328" t="s">
        <v>168</v>
      </c>
      <c r="C37" s="209"/>
      <c r="D37" s="209"/>
      <c r="E37" s="209"/>
      <c r="F37" s="209"/>
      <c r="G37" s="209"/>
      <c r="H37" s="228"/>
      <c r="I37" s="228"/>
      <c r="J37" s="228">
        <f t="shared" ref="J37" si="19">SUM(C37:I38)</f>
        <v>-13559</v>
      </c>
    </row>
    <row r="38" spans="2:16" outlineLevel="1" x14ac:dyDescent="0.2">
      <c r="B38" s="328" t="s">
        <v>555</v>
      </c>
      <c r="C38" s="209">
        <v>-13559</v>
      </c>
      <c r="D38" s="209">
        <v>0</v>
      </c>
      <c r="E38" s="209">
        <v>0</v>
      </c>
      <c r="F38" s="209">
        <v>0</v>
      </c>
      <c r="G38" s="209">
        <v>0</v>
      </c>
      <c r="H38" s="228">
        <v>0</v>
      </c>
      <c r="I38" s="228">
        <v>0</v>
      </c>
      <c r="J38" s="228">
        <f>SUM(C38:I38)</f>
        <v>-13559</v>
      </c>
    </row>
    <row r="39" spans="2:16" ht="10.8" outlineLevel="1" thickBot="1" x14ac:dyDescent="0.25">
      <c r="B39" s="429" t="str">
        <f>'[6]NOTA 13 -Rzeczowe aktywa trwałe'!B67</f>
        <v>Umorzenie na dzień 31.12.2018</v>
      </c>
      <c r="C39" s="163">
        <f>C29+C30-C34</f>
        <v>1907148</v>
      </c>
      <c r="D39" s="163">
        <f t="shared" ref="D39:I39" si="20">D29+D30-D34</f>
        <v>0</v>
      </c>
      <c r="E39" s="163">
        <f t="shared" si="20"/>
        <v>0</v>
      </c>
      <c r="F39" s="163">
        <f t="shared" si="20"/>
        <v>0</v>
      </c>
      <c r="G39" s="163">
        <f>G29+G30-G34</f>
        <v>4484146</v>
      </c>
      <c r="H39" s="163">
        <f>H29+H30-H34</f>
        <v>0</v>
      </c>
      <c r="I39" s="163">
        <f t="shared" si="20"/>
        <v>0</v>
      </c>
      <c r="J39" s="373">
        <f>J29+J30-J34</f>
        <v>6391294</v>
      </c>
    </row>
    <row r="40" spans="2:16" ht="11.4" outlineLevel="1" thickTop="1" thickBot="1" x14ac:dyDescent="0.25">
      <c r="B40" s="546" t="s">
        <v>933</v>
      </c>
      <c r="C40" s="319">
        <v>125035</v>
      </c>
      <c r="D40" s="319"/>
      <c r="E40" s="319"/>
      <c r="F40" s="319"/>
      <c r="G40" s="319">
        <v>10711</v>
      </c>
      <c r="H40" s="605"/>
      <c r="I40" s="605">
        <v>0</v>
      </c>
      <c r="J40" s="605">
        <f>SUM(C40:I40)</f>
        <v>135746</v>
      </c>
      <c r="M40" s="383"/>
    </row>
    <row r="41" spans="2:16" ht="11.4" outlineLevel="1" thickTop="1" thickBot="1" x14ac:dyDescent="0.25">
      <c r="B41" s="452" t="str">
        <f>'[6]NOTA 13 -Rzeczowe aktywa trwałe'!B69</f>
        <v>Wartość bilansowa netto na dzień 31.12.2018</v>
      </c>
      <c r="C41" s="319">
        <f>C20-C39-C26-C40</f>
        <v>6716387</v>
      </c>
      <c r="D41" s="319">
        <f t="shared" ref="D41:I41" si="21">D20-D39-D26-D40</f>
        <v>0</v>
      </c>
      <c r="E41" s="319">
        <f t="shared" si="21"/>
        <v>0</v>
      </c>
      <c r="F41" s="319">
        <f t="shared" si="21"/>
        <v>0</v>
      </c>
      <c r="G41" s="319">
        <f t="shared" si="21"/>
        <v>10585781</v>
      </c>
      <c r="H41" s="319">
        <f t="shared" si="21"/>
        <v>0</v>
      </c>
      <c r="I41" s="319">
        <f t="shared" si="21"/>
        <v>1577200</v>
      </c>
      <c r="J41" s="319">
        <f>J20-J39-J26-J40</f>
        <v>18879368</v>
      </c>
      <c r="M41" s="383"/>
    </row>
    <row r="42" spans="2:16" s="89" customFormat="1" ht="10.8" outlineLevel="1" thickTop="1" x14ac:dyDescent="0.2">
      <c r="B42" s="3"/>
      <c r="C42" s="588"/>
      <c r="D42" s="588"/>
      <c r="E42" s="588"/>
      <c r="F42" s="588"/>
      <c r="G42" s="588"/>
      <c r="H42" s="136"/>
      <c r="I42" s="136"/>
      <c r="J42" s="320">
        <f>J41-Aktywa!D5</f>
        <v>0</v>
      </c>
      <c r="K42" s="604"/>
      <c r="M42" s="604"/>
    </row>
    <row r="43" spans="2:16" outlineLevel="1" x14ac:dyDescent="0.2">
      <c r="B43" s="3"/>
      <c r="H43" s="326"/>
      <c r="I43" s="326"/>
    </row>
    <row r="44" spans="2:16" outlineLevel="1" x14ac:dyDescent="0.2">
      <c r="B44" s="52" t="s">
        <v>791</v>
      </c>
      <c r="H44" s="136"/>
      <c r="I44" s="136"/>
    </row>
    <row r="45" spans="2:16" s="89" customFormat="1" outlineLevel="1" x14ac:dyDescent="0.2">
      <c r="B45" s="52"/>
      <c r="C45" s="588"/>
      <c r="D45" s="588"/>
      <c r="E45" s="588"/>
      <c r="F45" s="588"/>
      <c r="G45" s="588"/>
      <c r="H45" s="136"/>
      <c r="I45" s="136"/>
      <c r="J45" s="588"/>
    </row>
    <row r="46" spans="2:16" ht="30.6" outlineLevel="1" x14ac:dyDescent="0.2">
      <c r="B46" s="73" t="s">
        <v>353</v>
      </c>
      <c r="C46" s="594" t="s">
        <v>176</v>
      </c>
      <c r="D46" s="73" t="s">
        <v>177</v>
      </c>
      <c r="E46" s="594" t="s">
        <v>178</v>
      </c>
      <c r="F46" s="73" t="s">
        <v>179</v>
      </c>
      <c r="G46" s="594" t="s">
        <v>180</v>
      </c>
      <c r="H46" s="594" t="s">
        <v>246</v>
      </c>
      <c r="I46" s="594" t="s">
        <v>926</v>
      </c>
      <c r="J46" s="594" t="s">
        <v>417</v>
      </c>
      <c r="L46" s="606"/>
      <c r="M46" s="606"/>
      <c r="N46" s="606"/>
      <c r="O46" s="606"/>
      <c r="P46" s="606"/>
    </row>
    <row r="47" spans="2:16" outlineLevel="1" x14ac:dyDescent="0.2">
      <c r="B47" s="349" t="str">
        <f>'[6]NOTA 13 -Rzeczowe aktywa trwałe'!B74</f>
        <v>Wartość bilansowa brutto na dzień 01.01.2017</v>
      </c>
      <c r="C47" s="350">
        <v>1222374</v>
      </c>
      <c r="D47" s="350">
        <v>0</v>
      </c>
      <c r="E47" s="350">
        <v>0</v>
      </c>
      <c r="F47" s="350"/>
      <c r="G47" s="350">
        <v>12477937</v>
      </c>
      <c r="H47" s="350">
        <v>0</v>
      </c>
      <c r="I47" s="350">
        <f>477277+88235</f>
        <v>565512</v>
      </c>
      <c r="J47" s="374">
        <f>SUM(C47:I47)</f>
        <v>14265823</v>
      </c>
      <c r="L47" s="606"/>
      <c r="M47" s="606"/>
      <c r="N47" s="606"/>
      <c r="O47" s="606"/>
      <c r="P47" s="606"/>
    </row>
    <row r="48" spans="2:16" outlineLevel="1" x14ac:dyDescent="0.2">
      <c r="B48" s="213" t="s">
        <v>105</v>
      </c>
      <c r="C48" s="211">
        <f t="shared" ref="C48:H48" si="22">SUM(C49:C52)</f>
        <v>1027781</v>
      </c>
      <c r="D48" s="211">
        <f t="shared" si="22"/>
        <v>0</v>
      </c>
      <c r="E48" s="211">
        <f t="shared" si="22"/>
        <v>0</v>
      </c>
      <c r="F48" s="211">
        <f t="shared" si="22"/>
        <v>0</v>
      </c>
      <c r="G48" s="211">
        <f t="shared" si="22"/>
        <v>1288964</v>
      </c>
      <c r="H48" s="231">
        <f t="shared" si="22"/>
        <v>0</v>
      </c>
      <c r="I48" s="231">
        <v>0</v>
      </c>
      <c r="J48" s="231">
        <f>SUM(J49:J52)</f>
        <v>4448656</v>
      </c>
    </row>
    <row r="49" spans="2:11" outlineLevel="1" x14ac:dyDescent="0.2">
      <c r="B49" s="328" t="s">
        <v>489</v>
      </c>
      <c r="C49" s="209">
        <v>0</v>
      </c>
      <c r="D49" s="209">
        <v>0</v>
      </c>
      <c r="E49" s="209">
        <v>0</v>
      </c>
      <c r="F49" s="209">
        <v>0</v>
      </c>
      <c r="G49" s="209">
        <v>1288964</v>
      </c>
      <c r="H49" s="228">
        <v>0</v>
      </c>
      <c r="I49" s="228">
        <v>0</v>
      </c>
      <c r="J49" s="228">
        <f>SUM(C49:I49)</f>
        <v>1288964</v>
      </c>
    </row>
    <row r="50" spans="2:11" ht="24" hidden="1" customHeight="1" outlineLevel="1" x14ac:dyDescent="0.2">
      <c r="B50" s="375" t="s">
        <v>168</v>
      </c>
      <c r="C50" s="209"/>
      <c r="D50" s="209"/>
      <c r="E50" s="209"/>
      <c r="F50" s="209"/>
      <c r="G50" s="209"/>
      <c r="H50" s="228"/>
      <c r="I50" s="228"/>
      <c r="J50" s="228">
        <f>SUM(C50:H50)</f>
        <v>0</v>
      </c>
    </row>
    <row r="51" spans="2:11" outlineLevel="1" x14ac:dyDescent="0.2">
      <c r="B51" s="375" t="s">
        <v>759</v>
      </c>
      <c r="C51" s="209">
        <v>1027781</v>
      </c>
      <c r="D51" s="209">
        <v>0</v>
      </c>
      <c r="E51" s="209">
        <v>0</v>
      </c>
      <c r="F51" s="209">
        <v>0</v>
      </c>
      <c r="G51" s="209">
        <v>0</v>
      </c>
      <c r="H51" s="228">
        <v>0</v>
      </c>
      <c r="I51" s="228">
        <f>1045979+226849+490649+406585-38151</f>
        <v>2131911</v>
      </c>
      <c r="J51" s="228">
        <f>SUM(C51:I51)</f>
        <v>3159692</v>
      </c>
    </row>
    <row r="52" spans="2:11" x14ac:dyDescent="0.2">
      <c r="B52" s="328" t="s">
        <v>555</v>
      </c>
      <c r="C52" s="209">
        <v>0</v>
      </c>
      <c r="D52" s="209">
        <v>0</v>
      </c>
      <c r="E52" s="209">
        <v>0</v>
      </c>
      <c r="F52" s="209"/>
      <c r="G52" s="209">
        <v>0</v>
      </c>
      <c r="H52" s="228">
        <v>0</v>
      </c>
      <c r="I52" s="228">
        <v>0</v>
      </c>
      <c r="J52" s="228">
        <f>SUM(C52:I52)</f>
        <v>0</v>
      </c>
    </row>
    <row r="53" spans="2:11" x14ac:dyDescent="0.2">
      <c r="B53" s="213" t="s">
        <v>104</v>
      </c>
      <c r="C53" s="211">
        <f t="shared" ref="C53:J53" si="23">SUM(C54:C57)</f>
        <v>0</v>
      </c>
      <c r="D53" s="211">
        <f t="shared" si="23"/>
        <v>0</v>
      </c>
      <c r="E53" s="211">
        <f t="shared" si="23"/>
        <v>0</v>
      </c>
      <c r="F53" s="211">
        <f t="shared" si="23"/>
        <v>0</v>
      </c>
      <c r="G53" s="211">
        <f t="shared" si="23"/>
        <v>801</v>
      </c>
      <c r="H53" s="231">
        <f t="shared" si="23"/>
        <v>0</v>
      </c>
      <c r="I53" s="231">
        <v>0</v>
      </c>
      <c r="J53" s="231">
        <f t="shared" si="23"/>
        <v>1069329</v>
      </c>
    </row>
    <row r="54" spans="2:11" x14ac:dyDescent="0.2">
      <c r="B54" s="328" t="s">
        <v>169</v>
      </c>
      <c r="C54" s="209">
        <v>0</v>
      </c>
      <c r="D54" s="209">
        <v>0</v>
      </c>
      <c r="E54" s="209">
        <v>0</v>
      </c>
      <c r="F54" s="209">
        <v>0</v>
      </c>
      <c r="G54" s="209">
        <v>801</v>
      </c>
      <c r="H54" s="228">
        <v>0</v>
      </c>
      <c r="I54" s="228">
        <v>0</v>
      </c>
      <c r="J54" s="228">
        <f>SUM(C54:I54)</f>
        <v>801</v>
      </c>
    </row>
    <row r="55" spans="2:11" x14ac:dyDescent="0.2">
      <c r="B55" s="375" t="s">
        <v>932</v>
      </c>
      <c r="C55" s="209">
        <v>0</v>
      </c>
      <c r="D55" s="209">
        <v>0</v>
      </c>
      <c r="E55" s="209">
        <v>0</v>
      </c>
      <c r="F55" s="209">
        <v>0</v>
      </c>
      <c r="G55" s="209">
        <v>0</v>
      </c>
      <c r="H55" s="228">
        <v>0</v>
      </c>
      <c r="I55" s="228">
        <f>890601+177927</f>
        <v>1068528</v>
      </c>
      <c r="J55" s="228">
        <f>SUM(C55:I55)</f>
        <v>1068528</v>
      </c>
    </row>
    <row r="56" spans="2:11" s="107" customFormat="1" hidden="1" outlineLevel="1" x14ac:dyDescent="0.2">
      <c r="B56" s="328" t="s">
        <v>168</v>
      </c>
      <c r="C56" s="209"/>
      <c r="D56" s="209"/>
      <c r="E56" s="209"/>
      <c r="F56" s="209"/>
      <c r="G56" s="209"/>
      <c r="H56" s="228"/>
      <c r="I56" s="228"/>
      <c r="J56" s="228">
        <f t="shared" ref="J56:J57" si="24">SUM(C56:I56)</f>
        <v>0</v>
      </c>
    </row>
    <row r="57" spans="2:11" ht="14.25" hidden="1" customHeight="1" outlineLevel="1" x14ac:dyDescent="0.2">
      <c r="B57" s="328" t="s">
        <v>555</v>
      </c>
      <c r="C57" s="209"/>
      <c r="D57" s="209"/>
      <c r="E57" s="209"/>
      <c r="F57" s="209"/>
      <c r="G57" s="209"/>
      <c r="H57" s="228"/>
      <c r="I57" s="228"/>
      <c r="J57" s="228">
        <f t="shared" si="24"/>
        <v>0</v>
      </c>
    </row>
    <row r="58" spans="2:11" ht="10.8" outlineLevel="1" thickBot="1" x14ac:dyDescent="0.25">
      <c r="B58" s="429" t="str">
        <f>'[6]NOTA 13 -Rzeczowe aktywa trwałe'!B90</f>
        <v>Wartość bilansowa brutto na dzień 31.12.2017</v>
      </c>
      <c r="C58" s="163">
        <f t="shared" ref="C58:F58" si="25">C47+C48-C53</f>
        <v>2250155</v>
      </c>
      <c r="D58" s="163">
        <f t="shared" si="25"/>
        <v>0</v>
      </c>
      <c r="E58" s="163">
        <f t="shared" si="25"/>
        <v>0</v>
      </c>
      <c r="F58" s="163">
        <f t="shared" si="25"/>
        <v>0</v>
      </c>
      <c r="G58" s="163">
        <f>G47+G48-G53</f>
        <v>13766100</v>
      </c>
      <c r="H58" s="163">
        <f t="shared" ref="H58" si="26">H47+H48-H53</f>
        <v>0</v>
      </c>
      <c r="I58" s="163">
        <f>I47+I51-I55</f>
        <v>1628895</v>
      </c>
      <c r="J58" s="373">
        <f>SUM(C58:I58)</f>
        <v>17645150</v>
      </c>
      <c r="K58" s="383"/>
    </row>
    <row r="59" spans="2:11" ht="10.8" outlineLevel="1" thickTop="1" x14ac:dyDescent="0.2">
      <c r="B59" s="57" t="str">
        <f>'[6]NOTA 13 -Rzeczowe aktywa trwałe'!B91</f>
        <v>Umorzenie na dzień 01.01.2017</v>
      </c>
      <c r="C59" s="92">
        <v>48164</v>
      </c>
      <c r="D59" s="92">
        <v>0</v>
      </c>
      <c r="E59" s="92">
        <v>0</v>
      </c>
      <c r="F59" s="92"/>
      <c r="G59" s="92">
        <v>1769418</v>
      </c>
      <c r="H59" s="127">
        <v>0</v>
      </c>
      <c r="I59" s="127">
        <v>0</v>
      </c>
      <c r="J59" s="127">
        <f>SUM(C59:I59)</f>
        <v>1817582</v>
      </c>
    </row>
    <row r="60" spans="2:11" outlineLevel="1" x14ac:dyDescent="0.2">
      <c r="B60" s="213" t="s">
        <v>105</v>
      </c>
      <c r="C60" s="211">
        <f t="shared" ref="C60:J60" si="27">SUM(C61:C63)</f>
        <v>244435</v>
      </c>
      <c r="D60" s="211">
        <f t="shared" si="27"/>
        <v>0</v>
      </c>
      <c r="E60" s="211">
        <f t="shared" si="27"/>
        <v>0</v>
      </c>
      <c r="F60" s="211">
        <f t="shared" si="27"/>
        <v>0</v>
      </c>
      <c r="G60" s="211">
        <f t="shared" si="27"/>
        <v>870432</v>
      </c>
      <c r="H60" s="231">
        <f t="shared" si="27"/>
        <v>0</v>
      </c>
      <c r="I60" s="231">
        <v>0</v>
      </c>
      <c r="J60" s="231">
        <f t="shared" si="27"/>
        <v>1114867</v>
      </c>
    </row>
    <row r="61" spans="2:11" outlineLevel="1" x14ac:dyDescent="0.2">
      <c r="B61" s="328" t="s">
        <v>173</v>
      </c>
      <c r="C61" s="209">
        <v>244435</v>
      </c>
      <c r="D61" s="209">
        <v>0</v>
      </c>
      <c r="E61" s="209">
        <v>0</v>
      </c>
      <c r="F61" s="209">
        <v>0</v>
      </c>
      <c r="G61" s="209">
        <v>870432</v>
      </c>
      <c r="H61" s="228">
        <v>0</v>
      </c>
      <c r="I61" s="228">
        <v>0</v>
      </c>
      <c r="J61" s="228">
        <f>SUM(C61:I61)</f>
        <v>1114867</v>
      </c>
      <c r="K61" s="383"/>
    </row>
    <row r="62" spans="2:11" hidden="1" outlineLevel="1" x14ac:dyDescent="0.2">
      <c r="B62" s="328" t="s">
        <v>168</v>
      </c>
      <c r="C62" s="209"/>
      <c r="D62" s="209"/>
      <c r="E62" s="209"/>
      <c r="F62" s="209"/>
      <c r="G62" s="209"/>
      <c r="H62" s="228"/>
      <c r="I62" s="228"/>
      <c r="J62" s="228">
        <f>SUM(C62:H62)</f>
        <v>0</v>
      </c>
    </row>
    <row r="63" spans="2:11" outlineLevel="1" x14ac:dyDescent="0.2">
      <c r="B63" s="328" t="s">
        <v>555</v>
      </c>
      <c r="C63" s="209">
        <v>0</v>
      </c>
      <c r="D63" s="209">
        <v>0</v>
      </c>
      <c r="E63" s="209">
        <v>0</v>
      </c>
      <c r="F63" s="209"/>
      <c r="G63" s="209">
        <v>0</v>
      </c>
      <c r="H63" s="228">
        <v>0</v>
      </c>
      <c r="I63" s="228">
        <v>0</v>
      </c>
      <c r="J63" s="228">
        <f>SUM(C63:I63)</f>
        <v>0</v>
      </c>
    </row>
    <row r="64" spans="2:11" outlineLevel="1" x14ac:dyDescent="0.2">
      <c r="B64" s="213" t="s">
        <v>104</v>
      </c>
      <c r="C64" s="211">
        <f t="shared" ref="C64:J64" si="28">SUM(C65:C68)</f>
        <v>0</v>
      </c>
      <c r="D64" s="211">
        <f t="shared" si="28"/>
        <v>0</v>
      </c>
      <c r="E64" s="211">
        <f t="shared" si="28"/>
        <v>0</v>
      </c>
      <c r="F64" s="211">
        <f t="shared" si="28"/>
        <v>0</v>
      </c>
      <c r="G64" s="211">
        <f t="shared" si="28"/>
        <v>80</v>
      </c>
      <c r="H64" s="231">
        <f t="shared" si="28"/>
        <v>0</v>
      </c>
      <c r="I64" s="231">
        <v>0</v>
      </c>
      <c r="J64" s="231">
        <f t="shared" si="28"/>
        <v>80</v>
      </c>
    </row>
    <row r="65" spans="2:14" hidden="1" outlineLevel="1" x14ac:dyDescent="0.2">
      <c r="B65" s="328" t="s">
        <v>170</v>
      </c>
      <c r="C65" s="209">
        <v>0</v>
      </c>
      <c r="D65" s="209">
        <v>0</v>
      </c>
      <c r="E65" s="209">
        <v>0</v>
      </c>
      <c r="F65" s="209">
        <v>0</v>
      </c>
      <c r="G65" s="209">
        <v>0</v>
      </c>
      <c r="H65" s="228">
        <v>0</v>
      </c>
      <c r="I65" s="228"/>
      <c r="J65" s="228">
        <f>SUM(C65:H65)</f>
        <v>0</v>
      </c>
    </row>
    <row r="66" spans="2:14" outlineLevel="1" x14ac:dyDescent="0.2">
      <c r="B66" s="328" t="s">
        <v>174</v>
      </c>
      <c r="C66" s="209">
        <v>0</v>
      </c>
      <c r="D66" s="209">
        <v>0</v>
      </c>
      <c r="E66" s="209">
        <v>0</v>
      </c>
      <c r="F66" s="209">
        <v>0</v>
      </c>
      <c r="G66" s="209">
        <v>80</v>
      </c>
      <c r="H66" s="228">
        <v>0</v>
      </c>
      <c r="I66" s="228">
        <v>0</v>
      </c>
      <c r="J66" s="228">
        <f>SUM(C66:I66)</f>
        <v>80</v>
      </c>
    </row>
    <row r="67" spans="2:14" hidden="1" outlineLevel="1" x14ac:dyDescent="0.2">
      <c r="B67" s="328" t="s">
        <v>168</v>
      </c>
      <c r="C67" s="209"/>
      <c r="D67" s="209"/>
      <c r="E67" s="209"/>
      <c r="F67" s="209"/>
      <c r="G67" s="209"/>
      <c r="H67" s="228"/>
      <c r="I67" s="228"/>
      <c r="J67" s="228">
        <f>SUM(C67:H67)</f>
        <v>0</v>
      </c>
    </row>
    <row r="68" spans="2:14" ht="13.95" customHeight="1" outlineLevel="1" x14ac:dyDescent="0.2">
      <c r="B68" s="328" t="s">
        <v>555</v>
      </c>
      <c r="C68" s="209">
        <v>0</v>
      </c>
      <c r="D68" s="209">
        <v>0</v>
      </c>
      <c r="E68" s="209">
        <v>0</v>
      </c>
      <c r="F68" s="209"/>
      <c r="G68" s="209">
        <v>0</v>
      </c>
      <c r="H68" s="228">
        <v>0</v>
      </c>
      <c r="I68" s="228">
        <v>0</v>
      </c>
      <c r="J68" s="228">
        <f>SUM(C68:I68)</f>
        <v>0</v>
      </c>
    </row>
    <row r="69" spans="2:14" ht="10.8" outlineLevel="1" thickBot="1" x14ac:dyDescent="0.25">
      <c r="B69" s="429" t="str">
        <f>'[6]NOTA 13 -Rzeczowe aktywa trwałe'!B101</f>
        <v>Umorzenie na dzień 31.12.2017</v>
      </c>
      <c r="C69" s="163">
        <f>C59+C60-C64</f>
        <v>292599</v>
      </c>
      <c r="D69" s="163">
        <f t="shared" ref="D69:H69" si="29">D59+D60-D64</f>
        <v>0</v>
      </c>
      <c r="E69" s="163">
        <f t="shared" si="29"/>
        <v>0</v>
      </c>
      <c r="F69" s="163">
        <f t="shared" si="29"/>
        <v>0</v>
      </c>
      <c r="G69" s="163">
        <f>G59+G60-G64</f>
        <v>2639770</v>
      </c>
      <c r="H69" s="163">
        <f t="shared" si="29"/>
        <v>0</v>
      </c>
      <c r="I69" s="163">
        <f>I59+I60-I64</f>
        <v>0</v>
      </c>
      <c r="J69" s="373">
        <f>J59+J60-J64</f>
        <v>2932369</v>
      </c>
      <c r="M69" s="383"/>
    </row>
    <row r="70" spans="2:14" ht="11.4" outlineLevel="1" thickTop="1" thickBot="1" x14ac:dyDescent="0.25">
      <c r="B70" s="429" t="s">
        <v>790</v>
      </c>
      <c r="C70" s="319">
        <f>C58-C69</f>
        <v>1957556</v>
      </c>
      <c r="D70" s="319">
        <f t="shared" ref="D70:H70" si="30">D58-D69</f>
        <v>0</v>
      </c>
      <c r="E70" s="319">
        <f t="shared" si="30"/>
        <v>0</v>
      </c>
      <c r="F70" s="319">
        <f t="shared" si="30"/>
        <v>0</v>
      </c>
      <c r="G70" s="319">
        <f t="shared" si="30"/>
        <v>11126330</v>
      </c>
      <c r="H70" s="319">
        <f t="shared" si="30"/>
        <v>0</v>
      </c>
      <c r="I70" s="319">
        <f>I58-I69</f>
        <v>1628895</v>
      </c>
      <c r="J70" s="319">
        <f>J58-J69</f>
        <v>14712781</v>
      </c>
      <c r="K70" s="383"/>
      <c r="M70" s="383"/>
    </row>
    <row r="71" spans="2:14" ht="10.8" outlineLevel="1" thickTop="1" x14ac:dyDescent="0.2">
      <c r="C71" s="108"/>
      <c r="D71" s="108"/>
      <c r="E71" s="108"/>
      <c r="F71" s="591"/>
      <c r="H71" s="136"/>
      <c r="I71" s="136"/>
      <c r="J71" s="320">
        <f>J70-Aktywa!E5</f>
        <v>0</v>
      </c>
      <c r="K71" s="383"/>
      <c r="L71" s="383"/>
      <c r="N71" s="383"/>
    </row>
    <row r="72" spans="2:14" outlineLevel="1" x14ac:dyDescent="0.2">
      <c r="B72" s="3"/>
      <c r="C72" s="383"/>
      <c r="D72" s="383">
        <f t="shared" ref="D72:H72" si="31">D58-D69</f>
        <v>0</v>
      </c>
      <c r="E72" s="383">
        <f t="shared" si="31"/>
        <v>0</v>
      </c>
      <c r="F72" s="383">
        <f t="shared" si="31"/>
        <v>0</v>
      </c>
      <c r="G72" s="383"/>
      <c r="H72" s="383">
        <f t="shared" si="31"/>
        <v>0</v>
      </c>
      <c r="I72" s="383"/>
    </row>
    <row r="73" spans="2:14" outlineLevel="1" x14ac:dyDescent="0.2">
      <c r="B73" s="52" t="s">
        <v>160</v>
      </c>
      <c r="F73" s="104"/>
      <c r="G73" s="104"/>
      <c r="H73" s="104"/>
      <c r="I73" s="104"/>
      <c r="J73" s="95"/>
    </row>
    <row r="74" spans="2:14" outlineLevel="1" x14ac:dyDescent="0.2">
      <c r="B74" s="52"/>
      <c r="F74" s="104"/>
      <c r="G74" s="104"/>
      <c r="H74" s="104"/>
      <c r="I74" s="104"/>
      <c r="J74" s="95"/>
    </row>
    <row r="75" spans="2:14" outlineLevel="1" x14ac:dyDescent="0.2">
      <c r="B75" s="73" t="s">
        <v>353</v>
      </c>
      <c r="C75" s="465">
        <f>'[6]Dane podstawowe'!B9</f>
        <v>43465</v>
      </c>
      <c r="D75" s="465">
        <f>'[6]Dane podstawowe'!B14</f>
        <v>43100</v>
      </c>
      <c r="F75" s="104"/>
      <c r="G75" s="104"/>
      <c r="H75" s="104"/>
      <c r="I75" s="104"/>
      <c r="J75" s="95"/>
    </row>
    <row r="76" spans="2:14" outlineLevel="1" x14ac:dyDescent="0.2">
      <c r="B76" s="215" t="s">
        <v>518</v>
      </c>
      <c r="C76" s="78">
        <f>J41</f>
        <v>18879368</v>
      </c>
      <c r="D76" s="170">
        <f>J70</f>
        <v>14712781</v>
      </c>
      <c r="F76" s="104"/>
      <c r="G76" s="104"/>
      <c r="H76" s="104"/>
      <c r="I76" s="104"/>
      <c r="J76" s="95"/>
    </row>
    <row r="77" spans="2:14" ht="20.399999999999999" outlineLevel="1" x14ac:dyDescent="0.2">
      <c r="B77" s="105" t="s">
        <v>519</v>
      </c>
      <c r="C77" s="78">
        <v>0</v>
      </c>
      <c r="D77" s="170"/>
      <c r="F77" s="104"/>
      <c r="G77" s="104"/>
      <c r="H77" s="104"/>
      <c r="I77" s="104"/>
      <c r="J77" s="95"/>
    </row>
    <row r="78" spans="2:14" outlineLevel="1" x14ac:dyDescent="0.2">
      <c r="B78" s="593" t="s">
        <v>28</v>
      </c>
      <c r="C78" s="92">
        <f>SUM(C76:C77)</f>
        <v>18879368</v>
      </c>
      <c r="D78" s="92">
        <f>SUM(D76:D77)</f>
        <v>14712781</v>
      </c>
      <c r="F78" s="104"/>
      <c r="G78" s="104"/>
      <c r="H78" s="104"/>
      <c r="I78" s="104"/>
      <c r="J78" s="95"/>
    </row>
    <row r="79" spans="2:14" outlineLevel="1" x14ac:dyDescent="0.2">
      <c r="C79" s="320">
        <f>[6]Aktywa!D5-C76</f>
        <v>0</v>
      </c>
      <c r="D79" s="320">
        <f>[6]Aktywa!E5</f>
        <v>14712781</v>
      </c>
      <c r="F79" s="104"/>
      <c r="G79" s="104"/>
      <c r="H79" s="104"/>
      <c r="I79" s="104"/>
      <c r="J79" s="95"/>
    </row>
    <row r="80" spans="2:14" outlineLevel="1" x14ac:dyDescent="0.2">
      <c r="F80" s="104"/>
      <c r="G80" s="104"/>
      <c r="H80" s="104"/>
      <c r="I80" s="104"/>
      <c r="J80" s="95"/>
    </row>
    <row r="81" spans="2:11" outlineLevel="1" x14ac:dyDescent="0.2">
      <c r="B81" s="592"/>
      <c r="C81" s="99"/>
      <c r="D81" s="99"/>
      <c r="F81" s="104"/>
      <c r="G81" s="104"/>
      <c r="H81" s="104"/>
      <c r="I81" s="104"/>
      <c r="J81" s="95"/>
    </row>
    <row r="82" spans="2:11" outlineLevel="1" x14ac:dyDescent="0.2"/>
    <row r="83" spans="2:11" ht="21.75" customHeight="1" outlineLevel="1" x14ac:dyDescent="0.2"/>
    <row r="84" spans="2:11" outlineLevel="1" x14ac:dyDescent="0.2"/>
    <row r="89" spans="2:11" x14ac:dyDescent="0.2">
      <c r="K89" s="453"/>
    </row>
    <row r="90" spans="2:11" x14ac:dyDescent="0.2">
      <c r="K90" s="359"/>
    </row>
    <row r="91" spans="2:11" x14ac:dyDescent="0.2">
      <c r="K91" s="383"/>
    </row>
    <row r="92" spans="2:11" x14ac:dyDescent="0.2">
      <c r="K92" s="383"/>
    </row>
    <row r="93" spans="2:11" x14ac:dyDescent="0.2">
      <c r="K93" s="383"/>
    </row>
    <row r="94" spans="2:11" x14ac:dyDescent="0.2">
      <c r="K94" s="383"/>
    </row>
    <row r="95" spans="2:11" x14ac:dyDescent="0.2">
      <c r="K95" s="383"/>
    </row>
    <row r="96" spans="2:11" x14ac:dyDescent="0.2">
      <c r="K96" s="359"/>
    </row>
    <row r="100" spans="11:11" x14ac:dyDescent="0.2">
      <c r="K100" s="453"/>
    </row>
    <row r="101" spans="11:11" x14ac:dyDescent="0.2">
      <c r="K101" s="359"/>
    </row>
    <row r="102" spans="11:11" x14ac:dyDescent="0.2">
      <c r="K102" s="383"/>
    </row>
    <row r="103" spans="11:11" x14ac:dyDescent="0.2">
      <c r="K103" s="383"/>
    </row>
    <row r="104" spans="11:11" x14ac:dyDescent="0.2">
      <c r="K104" s="383"/>
    </row>
    <row r="105" spans="11:11" x14ac:dyDescent="0.2">
      <c r="K105" s="383"/>
    </row>
    <row r="106" spans="11:11" x14ac:dyDescent="0.2">
      <c r="K106" s="383"/>
    </row>
    <row r="107" spans="11:11" x14ac:dyDescent="0.2">
      <c r="K107" s="359"/>
    </row>
    <row r="110" spans="11:11" x14ac:dyDescent="0.2">
      <c r="K110" s="95"/>
    </row>
    <row r="111" spans="11:11" x14ac:dyDescent="0.2">
      <c r="K111" s="95"/>
    </row>
    <row r="112" spans="11:11" x14ac:dyDescent="0.2">
      <c r="K112" s="95"/>
    </row>
    <row r="113" spans="11:11" x14ac:dyDescent="0.2">
      <c r="K113" s="95"/>
    </row>
    <row r="114" spans="11:11" x14ac:dyDescent="0.2">
      <c r="K114" s="95"/>
    </row>
    <row r="115" spans="11:11" x14ac:dyDescent="0.2">
      <c r="K115" s="95"/>
    </row>
    <row r="116" spans="11:11" x14ac:dyDescent="0.2">
      <c r="K116" s="95"/>
    </row>
    <row r="117" spans="11:11" x14ac:dyDescent="0.2">
      <c r="K117" s="95"/>
    </row>
    <row r="118" spans="11:11" x14ac:dyDescent="0.2">
      <c r="K118" s="95"/>
    </row>
    <row r="119" spans="11:11" x14ac:dyDescent="0.2">
      <c r="K119" s="95"/>
    </row>
    <row r="120" spans="11:11" x14ac:dyDescent="0.2">
      <c r="K120" s="95"/>
    </row>
    <row r="121" spans="11:11" x14ac:dyDescent="0.2">
      <c r="K121" s="95"/>
    </row>
    <row r="122" spans="11:11" x14ac:dyDescent="0.2">
      <c r="K122" s="95"/>
    </row>
    <row r="123" spans="11:11" x14ac:dyDescent="0.2">
      <c r="K123" s="95"/>
    </row>
    <row r="124" spans="11:11" x14ac:dyDescent="0.2">
      <c r="K124" s="95"/>
    </row>
    <row r="125" spans="11:11" x14ac:dyDescent="0.2">
      <c r="K125" s="95"/>
    </row>
    <row r="126" spans="11:11" x14ac:dyDescent="0.2">
      <c r="K126" s="95"/>
    </row>
    <row r="127" spans="11:11" x14ac:dyDescent="0.2">
      <c r="K127" s="95"/>
    </row>
    <row r="128" spans="11:11" x14ac:dyDescent="0.2">
      <c r="K128" s="95"/>
    </row>
    <row r="129" spans="11:11" x14ac:dyDescent="0.2">
      <c r="K129" s="95"/>
    </row>
    <row r="130" spans="11:11" x14ac:dyDescent="0.2">
      <c r="K130" s="95"/>
    </row>
    <row r="131" spans="11:11" x14ac:dyDescent="0.2">
      <c r="K131" s="95"/>
    </row>
    <row r="132" spans="11:11" x14ac:dyDescent="0.2">
      <c r="K132" s="95"/>
    </row>
    <row r="133" spans="11:11" x14ac:dyDescent="0.2">
      <c r="K133" s="95"/>
    </row>
    <row r="134" spans="11:11" x14ac:dyDescent="0.2">
      <c r="K134" s="95"/>
    </row>
    <row r="135" spans="11:11" x14ac:dyDescent="0.2">
      <c r="K135" s="95"/>
    </row>
    <row r="136" spans="11:11" x14ac:dyDescent="0.2">
      <c r="K136" s="95"/>
    </row>
    <row r="137" spans="11:11" x14ac:dyDescent="0.2">
      <c r="K137" s="95"/>
    </row>
    <row r="138" spans="11:11" x14ac:dyDescent="0.2">
      <c r="K138" s="95"/>
    </row>
    <row r="139" spans="11:11" x14ac:dyDescent="0.2">
      <c r="K139" s="95"/>
    </row>
  </sheetData>
  <phoneticPr fontId="28" type="noConversion"/>
  <pageMargins left="0.74803149606299213" right="0.74803149606299213" top="0.98425196850393704" bottom="0.98425196850393704" header="0.51181102362204722" footer="0.51181102362204722"/>
  <pageSetup paperSize="9" scale="60" fitToHeight="2" orientation="portrait" r:id="rId1"/>
  <headerFooter alignWithMargins="0"/>
  <rowBreaks count="1" manualBreakCount="1">
    <brk id="63" min="1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showGridLines="0" view="pageBreakPreview" topLeftCell="A28" zoomScaleNormal="100" workbookViewId="0">
      <selection activeCell="A39" sqref="A39:XFD45"/>
    </sheetView>
  </sheetViews>
  <sheetFormatPr defaultColWidth="9.21875" defaultRowHeight="10.199999999999999" x14ac:dyDescent="0.2"/>
  <cols>
    <col min="1" max="1" width="3.44140625" style="41" customWidth="1"/>
    <col min="2" max="2" width="41.21875" style="41" customWidth="1"/>
    <col min="3" max="8" width="14.77734375" style="41" customWidth="1"/>
    <col min="9" max="16384" width="9.21875" style="41"/>
  </cols>
  <sheetData>
    <row r="1" spans="2:10" s="44" customFormat="1" x14ac:dyDescent="0.2">
      <c r="B1" s="180"/>
    </row>
    <row r="2" spans="2:10" ht="16.5" customHeight="1" x14ac:dyDescent="0.25">
      <c r="B2" s="412" t="s">
        <v>964</v>
      </c>
    </row>
    <row r="3" spans="2:10" ht="12" customHeight="1" x14ac:dyDescent="0.2">
      <c r="B3" s="3"/>
    </row>
    <row r="4" spans="2:10" s="44" customFormat="1" x14ac:dyDescent="0.2">
      <c r="B4" s="109" t="s">
        <v>345</v>
      </c>
      <c r="C4" s="104"/>
      <c r="D4" s="104"/>
      <c r="E4" s="41"/>
      <c r="F4" s="104"/>
      <c r="G4" s="104"/>
      <c r="H4" s="104"/>
      <c r="I4" s="208"/>
      <c r="J4" s="208"/>
    </row>
    <row r="5" spans="2:10" s="44" customFormat="1" x14ac:dyDescent="0.2">
      <c r="B5" s="109"/>
      <c r="C5" s="104"/>
      <c r="D5" s="104"/>
      <c r="E5" s="41"/>
      <c r="F5" s="104"/>
      <c r="G5" s="104"/>
      <c r="H5" s="104"/>
      <c r="I5" s="208"/>
      <c r="J5" s="208"/>
    </row>
    <row r="6" spans="2:10" x14ac:dyDescent="0.2">
      <c r="B6" s="111" t="s">
        <v>353</v>
      </c>
      <c r="C6" s="465">
        <f>'Dane podstawowe'!$B$9</f>
        <v>43465</v>
      </c>
      <c r="D6" s="465">
        <f>'Dane podstawowe'!$B$14</f>
        <v>43100</v>
      </c>
      <c r="E6" s="104"/>
    </row>
    <row r="7" spans="2:10" x14ac:dyDescent="0.2">
      <c r="B7" s="164" t="s">
        <v>903</v>
      </c>
      <c r="C7" s="78">
        <v>1142394</v>
      </c>
      <c r="D7" s="78">
        <v>0</v>
      </c>
      <c r="E7" s="104"/>
    </row>
    <row r="8" spans="2:10" x14ac:dyDescent="0.2">
      <c r="B8" s="164" t="s">
        <v>856</v>
      </c>
      <c r="C8" s="78">
        <v>1141516</v>
      </c>
      <c r="D8" s="78">
        <v>0</v>
      </c>
      <c r="E8" s="104"/>
    </row>
    <row r="9" spans="2:10" x14ac:dyDescent="0.2">
      <c r="B9" s="164" t="s">
        <v>855</v>
      </c>
      <c r="C9" s="78">
        <v>679876</v>
      </c>
      <c r="D9" s="78">
        <v>0</v>
      </c>
      <c r="E9" s="104"/>
    </row>
    <row r="10" spans="2:10" x14ac:dyDescent="0.2">
      <c r="B10" s="164" t="s">
        <v>904</v>
      </c>
      <c r="C10" s="78">
        <v>480227</v>
      </c>
      <c r="D10" s="78">
        <v>214909</v>
      </c>
      <c r="E10" s="104"/>
    </row>
    <row r="11" spans="2:10" x14ac:dyDescent="0.2">
      <c r="B11" s="164" t="s">
        <v>905</v>
      </c>
      <c r="C11" s="78">
        <v>243452</v>
      </c>
      <c r="D11" s="78">
        <v>242783</v>
      </c>
      <c r="E11" s="104"/>
    </row>
    <row r="12" spans="2:10" x14ac:dyDescent="0.2">
      <c r="B12" s="50" t="s">
        <v>161</v>
      </c>
      <c r="C12" s="120">
        <f>SUM(C7:C11)</f>
        <v>3687465</v>
      </c>
      <c r="D12" s="120">
        <f>SUM(D7:D11)</f>
        <v>457692</v>
      </c>
      <c r="E12" s="104"/>
    </row>
    <row r="13" spans="2:10" x14ac:dyDescent="0.2">
      <c r="C13" s="310">
        <f>Aktywa!D6-'NOTA 11 - Wartość firmy'!C12</f>
        <v>0</v>
      </c>
      <c r="D13" s="310">
        <f>Aktywa!E6-'NOTA 11 - Wartość firmy'!D12</f>
        <v>0</v>
      </c>
      <c r="E13" s="104"/>
    </row>
    <row r="14" spans="2:10" x14ac:dyDescent="0.2">
      <c r="E14" s="104"/>
    </row>
    <row r="15" spans="2:10" x14ac:dyDescent="0.2">
      <c r="B15" s="52" t="s">
        <v>181</v>
      </c>
      <c r="E15" s="104"/>
    </row>
    <row r="16" spans="2:10" x14ac:dyDescent="0.2">
      <c r="B16" s="52"/>
      <c r="E16" s="104"/>
    </row>
    <row r="17" spans="2:5" x14ac:dyDescent="0.2">
      <c r="B17" s="103" t="s">
        <v>353</v>
      </c>
      <c r="C17" s="465">
        <f>'Dane podstawowe'!$B$9</f>
        <v>43465</v>
      </c>
      <c r="D17" s="465">
        <f>'Dane podstawowe'!$B$14</f>
        <v>43100</v>
      </c>
      <c r="E17" s="104"/>
    </row>
    <row r="18" spans="2:5" x14ac:dyDescent="0.2">
      <c r="B18" s="57" t="s">
        <v>106</v>
      </c>
      <c r="C18" s="131">
        <f>D29</f>
        <v>457692</v>
      </c>
      <c r="D18" s="131">
        <v>214909</v>
      </c>
      <c r="E18" s="104"/>
    </row>
    <row r="19" spans="2:5" x14ac:dyDescent="0.2">
      <c r="B19" s="3" t="s">
        <v>105</v>
      </c>
      <c r="C19" s="238">
        <f>SUM(C20:C23)</f>
        <v>3229773</v>
      </c>
      <c r="D19" s="238">
        <f>SUM(D20:D23)</f>
        <v>242783</v>
      </c>
      <c r="E19" s="104"/>
    </row>
    <row r="20" spans="2:5" x14ac:dyDescent="0.2">
      <c r="B20" s="217" t="s">
        <v>342</v>
      </c>
      <c r="C20" s="217">
        <v>1821392</v>
      </c>
      <c r="D20" s="217">
        <v>242783</v>
      </c>
      <c r="E20" s="104"/>
    </row>
    <row r="21" spans="2:5" x14ac:dyDescent="0.2">
      <c r="B21" s="583" t="s">
        <v>906</v>
      </c>
      <c r="C21" s="217">
        <v>1408381</v>
      </c>
      <c r="D21" s="217">
        <v>0</v>
      </c>
      <c r="E21" s="104"/>
    </row>
    <row r="22" spans="2:5" ht="20.399999999999999" x14ac:dyDescent="0.2">
      <c r="B22" s="321" t="s">
        <v>175</v>
      </c>
      <c r="C22" s="217">
        <v>0</v>
      </c>
      <c r="D22" s="217">
        <v>0</v>
      </c>
      <c r="E22" s="104"/>
    </row>
    <row r="23" spans="2:5" x14ac:dyDescent="0.2">
      <c r="B23" s="217" t="s">
        <v>343</v>
      </c>
      <c r="C23" s="217">
        <v>0</v>
      </c>
      <c r="D23" s="217">
        <v>0</v>
      </c>
      <c r="E23" s="104"/>
    </row>
    <row r="24" spans="2:5" x14ac:dyDescent="0.2">
      <c r="B24" s="238" t="s">
        <v>104</v>
      </c>
      <c r="C24" s="238">
        <f>SUM(C25:C28)</f>
        <v>0</v>
      </c>
      <c r="D24" s="238">
        <f>SUM(D25:D28)</f>
        <v>0</v>
      </c>
      <c r="E24" s="104"/>
    </row>
    <row r="25" spans="2:5" x14ac:dyDescent="0.2">
      <c r="B25" s="217" t="s">
        <v>407</v>
      </c>
      <c r="C25" s="217">
        <v>0</v>
      </c>
      <c r="D25" s="217">
        <v>0</v>
      </c>
      <c r="E25" s="104"/>
    </row>
    <row r="26" spans="2:5" ht="20.399999999999999" x14ac:dyDescent="0.2">
      <c r="B26" s="321" t="s">
        <v>202</v>
      </c>
      <c r="C26" s="217">
        <v>0</v>
      </c>
      <c r="D26" s="217">
        <v>0</v>
      </c>
      <c r="E26" s="104"/>
    </row>
    <row r="27" spans="2:5" ht="20.399999999999999" x14ac:dyDescent="0.2">
      <c r="B27" s="321" t="s">
        <v>182</v>
      </c>
      <c r="C27" s="217">
        <v>0</v>
      </c>
      <c r="D27" s="217">
        <v>0</v>
      </c>
      <c r="E27" s="104"/>
    </row>
    <row r="28" spans="2:5" s="44" customFormat="1" ht="20.399999999999999" x14ac:dyDescent="0.2">
      <c r="B28" s="321" t="s">
        <v>175</v>
      </c>
      <c r="C28" s="217">
        <v>0</v>
      </c>
      <c r="D28" s="217">
        <v>0</v>
      </c>
      <c r="E28" s="104"/>
    </row>
    <row r="29" spans="2:5" x14ac:dyDescent="0.2">
      <c r="B29" s="57" t="s">
        <v>107</v>
      </c>
      <c r="C29" s="131">
        <f>C18+C19-C24</f>
        <v>3687465</v>
      </c>
      <c r="D29" s="131">
        <f>D18+D19-D24</f>
        <v>457692</v>
      </c>
      <c r="E29" s="104"/>
    </row>
    <row r="30" spans="2:5" x14ac:dyDescent="0.2">
      <c r="B30" s="57"/>
      <c r="C30" s="131"/>
      <c r="D30" s="131"/>
      <c r="E30" s="104"/>
    </row>
    <row r="31" spans="2:5" ht="20.399999999999999" x14ac:dyDescent="0.2">
      <c r="B31" s="57" t="s">
        <v>108</v>
      </c>
      <c r="C31" s="132">
        <f>D34</f>
        <v>0</v>
      </c>
      <c r="D31" s="132">
        <v>0</v>
      </c>
      <c r="E31" s="104"/>
    </row>
    <row r="32" spans="2:5" ht="20.399999999999999" x14ac:dyDescent="0.2">
      <c r="B32" s="216" t="s">
        <v>344</v>
      </c>
      <c r="C32" s="217">
        <v>0</v>
      </c>
      <c r="D32" s="217">
        <v>0</v>
      </c>
      <c r="E32" s="104"/>
    </row>
    <row r="33" spans="2:6" x14ac:dyDescent="0.2">
      <c r="B33" s="216" t="s">
        <v>354</v>
      </c>
      <c r="C33" s="217">
        <v>0</v>
      </c>
      <c r="D33" s="217">
        <v>0</v>
      </c>
      <c r="E33" s="104"/>
    </row>
    <row r="34" spans="2:6" s="42" customFormat="1" ht="20.399999999999999" x14ac:dyDescent="0.25">
      <c r="B34" s="101" t="s">
        <v>109</v>
      </c>
      <c r="C34" s="132">
        <f>SUM(C31:C33)</f>
        <v>0</v>
      </c>
      <c r="D34" s="132">
        <f>SUM(D31:D33)</f>
        <v>0</v>
      </c>
      <c r="E34" s="104"/>
    </row>
    <row r="35" spans="2:6" s="42" customFormat="1" ht="8.25" customHeight="1" x14ac:dyDescent="0.25">
      <c r="B35" s="101"/>
      <c r="C35" s="132"/>
      <c r="D35" s="132"/>
      <c r="E35" s="104"/>
    </row>
    <row r="36" spans="2:6" x14ac:dyDescent="0.2">
      <c r="B36" s="53" t="s">
        <v>161</v>
      </c>
      <c r="C36" s="92">
        <f>C29-C34</f>
        <v>3687465</v>
      </c>
      <c r="D36" s="92">
        <f>D29-D34</f>
        <v>457692</v>
      </c>
      <c r="E36" s="104"/>
    </row>
    <row r="37" spans="2:6" x14ac:dyDescent="0.2">
      <c r="C37" s="310">
        <f>Aktywa!D6-'NOTA 11 - Wartość firmy'!C36</f>
        <v>0</v>
      </c>
      <c r="D37" s="310">
        <f>Aktywa!E6-'NOTA 11 - Wartość firmy'!D36</f>
        <v>0</v>
      </c>
      <c r="E37" s="104"/>
    </row>
    <row r="38" spans="2:6" x14ac:dyDescent="0.2">
      <c r="F38" s="104"/>
    </row>
  </sheetData>
  <phoneticPr fontId="33" type="noConversion"/>
  <pageMargins left="0.75" right="0.75" top="1" bottom="1" header="0.5" footer="0.5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0"/>
  </sheetPr>
  <dimension ref="A2:I49"/>
  <sheetViews>
    <sheetView showGridLines="0" view="pageBreakPreview" zoomScaleNormal="100" workbookViewId="0">
      <selection activeCell="E20" sqref="E20"/>
    </sheetView>
  </sheetViews>
  <sheetFormatPr defaultColWidth="9.21875" defaultRowHeight="10.199999999999999" x14ac:dyDescent="0.2"/>
  <cols>
    <col min="1" max="1" width="49.21875" style="218" customWidth="1"/>
    <col min="2" max="2" width="13.77734375" style="218" customWidth="1"/>
    <col min="3" max="3" width="17" style="218" customWidth="1"/>
    <col min="4" max="4" width="20" style="218" customWidth="1"/>
    <col min="5" max="5" width="13.5546875" style="218" customWidth="1"/>
    <col min="6" max="6" width="11.5546875" style="218" customWidth="1"/>
    <col min="7" max="7" width="12.44140625" style="218" customWidth="1"/>
    <col min="8" max="8" width="10.21875" style="218" customWidth="1"/>
    <col min="9" max="9" width="10.44140625" style="218" customWidth="1"/>
    <col min="10" max="16384" width="9.21875" style="218"/>
  </cols>
  <sheetData>
    <row r="2" spans="1:7" ht="13.2" x14ac:dyDescent="0.25">
      <c r="A2" s="412" t="s">
        <v>965</v>
      </c>
      <c r="B2" s="412"/>
      <c r="C2" s="412"/>
      <c r="D2" s="412"/>
      <c r="E2" s="412"/>
      <c r="F2" s="412"/>
    </row>
    <row r="4" spans="1:7" x14ac:dyDescent="0.2">
      <c r="A4" s="54" t="s">
        <v>966</v>
      </c>
    </row>
    <row r="5" spans="1:7" x14ac:dyDescent="0.2">
      <c r="A5" s="219"/>
    </row>
    <row r="6" spans="1:7" s="221" customFormat="1" ht="46.05" customHeight="1" x14ac:dyDescent="0.25">
      <c r="A6" s="223" t="s">
        <v>164</v>
      </c>
      <c r="B6" s="223" t="s">
        <v>183</v>
      </c>
      <c r="C6" s="223" t="s">
        <v>184</v>
      </c>
      <c r="D6" s="223" t="s">
        <v>185</v>
      </c>
      <c r="E6" s="223" t="s">
        <v>539</v>
      </c>
      <c r="F6" s="223" t="s">
        <v>540</v>
      </c>
      <c r="G6" s="223" t="s">
        <v>541</v>
      </c>
    </row>
    <row r="7" spans="1:7" s="44" customFormat="1" x14ac:dyDescent="0.2">
      <c r="A7" s="90" t="s">
        <v>247</v>
      </c>
      <c r="B7" s="153">
        <f>SUM(B8:B12)</f>
        <v>0</v>
      </c>
      <c r="C7" s="153">
        <f>SUM(C8:C12)</f>
        <v>0</v>
      </c>
      <c r="D7" s="153">
        <f>SUM(D8:D12)</f>
        <v>0</v>
      </c>
      <c r="E7" s="153">
        <f>SUM(E8:E12)</f>
        <v>0</v>
      </c>
      <c r="F7" s="153"/>
      <c r="G7" s="153"/>
    </row>
    <row r="8" spans="1:7" s="44" customFormat="1" x14ac:dyDescent="0.2">
      <c r="A8" s="355"/>
      <c r="B8" s="170">
        <v>0</v>
      </c>
      <c r="C8" s="170">
        <v>0</v>
      </c>
      <c r="D8" s="170">
        <v>0</v>
      </c>
      <c r="E8" s="170">
        <f>B8+C8+D8</f>
        <v>0</v>
      </c>
      <c r="F8" s="170"/>
      <c r="G8" s="170"/>
    </row>
    <row r="9" spans="1:7" s="44" customFormat="1" x14ac:dyDescent="0.2">
      <c r="A9" s="355"/>
      <c r="B9" s="170">
        <v>0</v>
      </c>
      <c r="C9" s="170">
        <v>0</v>
      </c>
      <c r="D9" s="170">
        <v>0</v>
      </c>
      <c r="E9" s="170">
        <f t="shared" ref="E9:E18" si="0">B9+C9+D9</f>
        <v>0</v>
      </c>
      <c r="F9" s="170"/>
      <c r="G9" s="170"/>
    </row>
    <row r="10" spans="1:7" s="44" customFormat="1" hidden="1" x14ac:dyDescent="0.2">
      <c r="A10" s="358" t="s">
        <v>248</v>
      </c>
      <c r="B10" s="170"/>
      <c r="C10" s="170"/>
      <c r="D10" s="170"/>
      <c r="E10" s="170">
        <f t="shared" si="0"/>
        <v>0</v>
      </c>
      <c r="F10" s="170"/>
      <c r="G10" s="170"/>
    </row>
    <row r="11" spans="1:7" s="44" customFormat="1" hidden="1" x14ac:dyDescent="0.2">
      <c r="A11" s="358" t="s">
        <v>248</v>
      </c>
      <c r="B11" s="170"/>
      <c r="C11" s="170"/>
      <c r="D11" s="170"/>
      <c r="E11" s="170">
        <f t="shared" si="0"/>
        <v>0</v>
      </c>
      <c r="F11" s="170"/>
      <c r="G11" s="170"/>
    </row>
    <row r="12" spans="1:7" s="44" customFormat="1" hidden="1" x14ac:dyDescent="0.2">
      <c r="A12" s="358" t="s">
        <v>248</v>
      </c>
      <c r="B12" s="170"/>
      <c r="C12" s="170"/>
      <c r="D12" s="170"/>
      <c r="E12" s="170">
        <f t="shared" si="0"/>
        <v>0</v>
      </c>
      <c r="F12" s="170"/>
      <c r="G12" s="170"/>
    </row>
    <row r="13" spans="1:7" s="44" customFormat="1" x14ac:dyDescent="0.2">
      <c r="A13" s="90" t="s">
        <v>653</v>
      </c>
      <c r="B13" s="153">
        <f>SUM(B14:B18)</f>
        <v>0</v>
      </c>
      <c r="C13" s="153">
        <f>SUM(C14:C18)</f>
        <v>0</v>
      </c>
      <c r="D13" s="153">
        <f>SUM(D14:D18)</f>
        <v>0</v>
      </c>
      <c r="E13" s="153">
        <f>SUM(E14:E18)</f>
        <v>0</v>
      </c>
      <c r="F13" s="153"/>
      <c r="G13" s="153"/>
    </row>
    <row r="14" spans="1:7" s="44" customFormat="1" hidden="1" x14ac:dyDescent="0.2">
      <c r="A14" s="358" t="s">
        <v>248</v>
      </c>
      <c r="B14" s="170"/>
      <c r="C14" s="170"/>
      <c r="D14" s="170"/>
      <c r="E14" s="170">
        <f t="shared" si="0"/>
        <v>0</v>
      </c>
      <c r="F14" s="170"/>
      <c r="G14" s="170"/>
    </row>
    <row r="15" spans="1:7" s="44" customFormat="1" hidden="1" x14ac:dyDescent="0.2">
      <c r="A15" s="358" t="s">
        <v>248</v>
      </c>
      <c r="B15" s="170"/>
      <c r="C15" s="170"/>
      <c r="D15" s="170"/>
      <c r="E15" s="170">
        <f t="shared" si="0"/>
        <v>0</v>
      </c>
      <c r="F15" s="170"/>
      <c r="G15" s="170"/>
    </row>
    <row r="16" spans="1:7" s="44" customFormat="1" hidden="1" x14ac:dyDescent="0.2">
      <c r="A16" s="358" t="s">
        <v>248</v>
      </c>
      <c r="B16" s="170"/>
      <c r="C16" s="170"/>
      <c r="D16" s="170"/>
      <c r="E16" s="170">
        <f t="shared" si="0"/>
        <v>0</v>
      </c>
      <c r="F16" s="170"/>
      <c r="G16" s="170"/>
    </row>
    <row r="17" spans="1:9" s="44" customFormat="1" hidden="1" x14ac:dyDescent="0.2">
      <c r="A17" s="358" t="s">
        <v>248</v>
      </c>
      <c r="B17" s="170"/>
      <c r="C17" s="170"/>
      <c r="D17" s="170"/>
      <c r="E17" s="170">
        <f t="shared" si="0"/>
        <v>0</v>
      </c>
      <c r="F17" s="170"/>
      <c r="G17" s="170"/>
    </row>
    <row r="18" spans="1:9" s="44" customFormat="1" hidden="1" x14ac:dyDescent="0.2">
      <c r="A18" s="358" t="s">
        <v>248</v>
      </c>
      <c r="B18" s="170"/>
      <c r="C18" s="170"/>
      <c r="D18" s="170"/>
      <c r="E18" s="170">
        <f t="shared" si="0"/>
        <v>0</v>
      </c>
      <c r="F18" s="170"/>
      <c r="G18" s="170"/>
    </row>
    <row r="19" spans="1:9" s="52" customFormat="1" x14ac:dyDescent="0.2">
      <c r="A19" s="351" t="s">
        <v>554</v>
      </c>
      <c r="B19" s="92">
        <f>B13+B7</f>
        <v>0</v>
      </c>
      <c r="C19" s="92">
        <f>C13+C7</f>
        <v>0</v>
      </c>
      <c r="D19" s="92">
        <f>D13+D7</f>
        <v>0</v>
      </c>
      <c r="E19" s="92">
        <f>E13+E7</f>
        <v>0</v>
      </c>
      <c r="F19" s="92"/>
      <c r="G19" s="92"/>
    </row>
    <row r="20" spans="1:9" x14ac:dyDescent="0.2">
      <c r="A20" s="224"/>
      <c r="E20" s="316">
        <f>Aktywa!D8-E19</f>
        <v>0</v>
      </c>
    </row>
    <row r="21" spans="1:9" x14ac:dyDescent="0.2">
      <c r="A21" s="224"/>
    </row>
    <row r="22" spans="1:9" x14ac:dyDescent="0.2">
      <c r="A22" s="54" t="s">
        <v>967</v>
      </c>
    </row>
    <row r="23" spans="1:9" x14ac:dyDescent="0.2">
      <c r="A23" s="219"/>
    </row>
    <row r="24" spans="1:9" ht="46.5" customHeight="1" x14ac:dyDescent="0.2">
      <c r="A24" s="223" t="s">
        <v>164</v>
      </c>
      <c r="B24" s="223" t="s">
        <v>183</v>
      </c>
      <c r="C24" s="223" t="s">
        <v>184</v>
      </c>
      <c r="D24" s="223" t="s">
        <v>185</v>
      </c>
      <c r="E24" s="223" t="s">
        <v>539</v>
      </c>
      <c r="F24" s="223" t="s">
        <v>540</v>
      </c>
      <c r="G24" s="223" t="s">
        <v>541</v>
      </c>
      <c r="H24" s="221"/>
      <c r="I24" s="221"/>
    </row>
    <row r="25" spans="1:9" s="44" customFormat="1" x14ac:dyDescent="0.2">
      <c r="A25" s="90" t="s">
        <v>247</v>
      </c>
      <c r="B25" s="153">
        <f>SUM(B26:B30)</f>
        <v>0</v>
      </c>
      <c r="C25" s="153">
        <f>SUM(C26:C30)</f>
        <v>0</v>
      </c>
      <c r="D25" s="153">
        <f>SUM(D26:D30)</f>
        <v>0</v>
      </c>
      <c r="E25" s="153"/>
      <c r="F25" s="153"/>
      <c r="G25" s="153"/>
    </row>
    <row r="26" spans="1:9" s="44" customFormat="1" x14ac:dyDescent="0.2">
      <c r="A26" s="355"/>
      <c r="B26" s="170"/>
      <c r="C26" s="170"/>
      <c r="D26" s="170">
        <v>0</v>
      </c>
      <c r="E26" s="170"/>
      <c r="F26" s="170"/>
      <c r="G26" s="170"/>
    </row>
    <row r="27" spans="1:9" s="44" customFormat="1" x14ac:dyDescent="0.2">
      <c r="A27" s="355"/>
      <c r="B27" s="170"/>
      <c r="C27" s="170"/>
      <c r="D27" s="170"/>
      <c r="E27" s="170"/>
      <c r="F27" s="170"/>
      <c r="G27" s="170"/>
    </row>
    <row r="28" spans="1:9" s="44" customFormat="1" hidden="1" x14ac:dyDescent="0.2">
      <c r="A28" s="358" t="s">
        <v>248</v>
      </c>
      <c r="B28" s="170"/>
      <c r="C28" s="170"/>
      <c r="D28" s="170"/>
      <c r="E28" s="170">
        <f t="shared" ref="E28:E30" si="1">B28+C28+D28</f>
        <v>0</v>
      </c>
      <c r="F28" s="170"/>
      <c r="G28" s="170"/>
    </row>
    <row r="29" spans="1:9" s="44" customFormat="1" hidden="1" x14ac:dyDescent="0.2">
      <c r="A29" s="358" t="s">
        <v>248</v>
      </c>
      <c r="B29" s="170"/>
      <c r="C29" s="170"/>
      <c r="D29" s="170"/>
      <c r="E29" s="170">
        <f t="shared" si="1"/>
        <v>0</v>
      </c>
      <c r="F29" s="170"/>
      <c r="G29" s="170"/>
    </row>
    <row r="30" spans="1:9" s="44" customFormat="1" hidden="1" x14ac:dyDescent="0.2">
      <c r="A30" s="358" t="s">
        <v>248</v>
      </c>
      <c r="B30" s="170"/>
      <c r="C30" s="170"/>
      <c r="D30" s="170"/>
      <c r="E30" s="170">
        <f t="shared" si="1"/>
        <v>0</v>
      </c>
      <c r="F30" s="170"/>
      <c r="G30" s="170"/>
    </row>
    <row r="31" spans="1:9" s="44" customFormat="1" x14ac:dyDescent="0.2">
      <c r="A31" s="90" t="s">
        <v>653</v>
      </c>
      <c r="B31" s="153">
        <f>SUM(B32:B36)</f>
        <v>0</v>
      </c>
      <c r="C31" s="153">
        <f>SUM(C32:C36)</f>
        <v>0</v>
      </c>
      <c r="D31" s="153">
        <f>SUM(D32:D36)</f>
        <v>0</v>
      </c>
      <c r="E31" s="153"/>
      <c r="F31" s="153"/>
      <c r="G31" s="153"/>
    </row>
    <row r="32" spans="1:9" s="44" customFormat="1" hidden="1" x14ac:dyDescent="0.2">
      <c r="A32" s="358" t="s">
        <v>248</v>
      </c>
      <c r="B32" s="170"/>
      <c r="C32" s="170"/>
      <c r="D32" s="170"/>
      <c r="E32" s="170">
        <f t="shared" ref="E32:E36" si="2">B32+C32+D32</f>
        <v>0</v>
      </c>
      <c r="F32" s="170"/>
      <c r="G32" s="170"/>
    </row>
    <row r="33" spans="1:7" s="44" customFormat="1" hidden="1" x14ac:dyDescent="0.2">
      <c r="A33" s="358" t="s">
        <v>248</v>
      </c>
      <c r="B33" s="170"/>
      <c r="C33" s="170"/>
      <c r="D33" s="170"/>
      <c r="E33" s="170">
        <f t="shared" si="2"/>
        <v>0</v>
      </c>
      <c r="F33" s="170"/>
      <c r="G33" s="170"/>
    </row>
    <row r="34" spans="1:7" s="44" customFormat="1" hidden="1" x14ac:dyDescent="0.2">
      <c r="A34" s="358" t="s">
        <v>248</v>
      </c>
      <c r="B34" s="170"/>
      <c r="C34" s="170"/>
      <c r="D34" s="170"/>
      <c r="E34" s="170">
        <f t="shared" si="2"/>
        <v>0</v>
      </c>
      <c r="F34" s="170"/>
      <c r="G34" s="170"/>
    </row>
    <row r="35" spans="1:7" s="44" customFormat="1" hidden="1" x14ac:dyDescent="0.2">
      <c r="A35" s="358" t="s">
        <v>248</v>
      </c>
      <c r="B35" s="170"/>
      <c r="C35" s="170"/>
      <c r="D35" s="170"/>
      <c r="E35" s="170">
        <f t="shared" si="2"/>
        <v>0</v>
      </c>
      <c r="F35" s="170"/>
      <c r="G35" s="170"/>
    </row>
    <row r="36" spans="1:7" s="44" customFormat="1" hidden="1" x14ac:dyDescent="0.2">
      <c r="A36" s="358" t="s">
        <v>248</v>
      </c>
      <c r="B36" s="170"/>
      <c r="C36" s="170"/>
      <c r="D36" s="170"/>
      <c r="E36" s="170">
        <f t="shared" si="2"/>
        <v>0</v>
      </c>
      <c r="F36" s="170"/>
      <c r="G36" s="170"/>
    </row>
    <row r="37" spans="1:7" s="52" customFormat="1" x14ac:dyDescent="0.2">
      <c r="A37" s="351" t="s">
        <v>554</v>
      </c>
      <c r="B37" s="92">
        <f>B31+B25</f>
        <v>0</v>
      </c>
      <c r="C37" s="92">
        <f>C31+C25</f>
        <v>0</v>
      </c>
      <c r="D37" s="92">
        <f>D31+D25</f>
        <v>0</v>
      </c>
      <c r="E37" s="92"/>
      <c r="F37" s="92"/>
      <c r="G37" s="92"/>
    </row>
    <row r="38" spans="1:7" x14ac:dyDescent="0.2">
      <c r="A38" s="224"/>
      <c r="E38" s="316">
        <f>Aktywa!E8-'NOTA 12 - Inwest. jedn. stow.'!E37</f>
        <v>0</v>
      </c>
    </row>
    <row r="39" spans="1:7" x14ac:dyDescent="0.2">
      <c r="A39" s="224"/>
      <c r="E39" s="318"/>
    </row>
    <row r="49" spans="1:7" s="221" customFormat="1" ht="88.5" customHeight="1" x14ac:dyDescent="0.2">
      <c r="A49" s="218"/>
      <c r="B49" s="218"/>
      <c r="C49" s="218"/>
      <c r="D49" s="218"/>
      <c r="E49" s="218"/>
      <c r="F49" s="218"/>
      <c r="G49" s="218"/>
    </row>
  </sheetData>
  <phoneticPr fontId="30" type="noConversion"/>
  <pageMargins left="0.75" right="0.75" top="1" bottom="1" header="0.5" footer="0.5"/>
  <pageSetup paperSize="9" scale="65" orientation="portrait" r:id="rId1"/>
  <headerFooter alignWithMargins="0"/>
  <colBreaks count="1" manualBreakCount="1">
    <brk id="9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I37"/>
  <sheetViews>
    <sheetView showGridLines="0" view="pageBreakPreview" zoomScaleNormal="100" zoomScaleSheetLayoutView="100" workbookViewId="0">
      <selection activeCell="M31" sqref="M31"/>
    </sheetView>
  </sheetViews>
  <sheetFormatPr defaultRowHeight="10.199999999999999" x14ac:dyDescent="0.2"/>
  <cols>
    <col min="1" max="1" width="45.77734375" style="44" customWidth="1"/>
    <col min="2" max="3" width="14.21875" style="44" customWidth="1"/>
    <col min="4" max="4" width="13.77734375" style="44" customWidth="1"/>
    <col min="5" max="5" width="13.5546875" style="44" customWidth="1"/>
    <col min="6" max="6" width="13.77734375" style="44" customWidth="1"/>
    <col min="7" max="7" width="18.77734375" style="44" customWidth="1"/>
    <col min="8" max="8" width="12.77734375" style="44" customWidth="1"/>
    <col min="9" max="9" width="13.21875" style="44" customWidth="1"/>
    <col min="10" max="256" width="9.21875" style="44"/>
    <col min="257" max="257" width="45.77734375" style="44" customWidth="1"/>
    <col min="258" max="259" width="14.21875" style="44" customWidth="1"/>
    <col min="260" max="260" width="13.77734375" style="44" customWidth="1"/>
    <col min="261" max="261" width="13.5546875" style="44" customWidth="1"/>
    <col min="262" max="262" width="13.77734375" style="44" customWidth="1"/>
    <col min="263" max="263" width="18.77734375" style="44" customWidth="1"/>
    <col min="264" max="264" width="12.77734375" style="44" customWidth="1"/>
    <col min="265" max="265" width="13.21875" style="44" customWidth="1"/>
    <col min="266" max="512" width="9.21875" style="44"/>
    <col min="513" max="513" width="45.77734375" style="44" customWidth="1"/>
    <col min="514" max="515" width="14.21875" style="44" customWidth="1"/>
    <col min="516" max="516" width="13.77734375" style="44" customWidth="1"/>
    <col min="517" max="517" width="13.5546875" style="44" customWidth="1"/>
    <col min="518" max="518" width="13.77734375" style="44" customWidth="1"/>
    <col min="519" max="519" width="18.77734375" style="44" customWidth="1"/>
    <col min="520" max="520" width="12.77734375" style="44" customWidth="1"/>
    <col min="521" max="521" width="13.21875" style="44" customWidth="1"/>
    <col min="522" max="768" width="9.21875" style="44"/>
    <col min="769" max="769" width="45.77734375" style="44" customWidth="1"/>
    <col min="770" max="771" width="14.21875" style="44" customWidth="1"/>
    <col min="772" max="772" width="13.77734375" style="44" customWidth="1"/>
    <col min="773" max="773" width="13.5546875" style="44" customWidth="1"/>
    <col min="774" max="774" width="13.77734375" style="44" customWidth="1"/>
    <col min="775" max="775" width="18.77734375" style="44" customWidth="1"/>
    <col min="776" max="776" width="12.77734375" style="44" customWidth="1"/>
    <col min="777" max="777" width="13.21875" style="44" customWidth="1"/>
    <col min="778" max="1024" width="9.21875" style="44"/>
    <col min="1025" max="1025" width="45.77734375" style="44" customWidth="1"/>
    <col min="1026" max="1027" width="14.21875" style="44" customWidth="1"/>
    <col min="1028" max="1028" width="13.77734375" style="44" customWidth="1"/>
    <col min="1029" max="1029" width="13.5546875" style="44" customWidth="1"/>
    <col min="1030" max="1030" width="13.77734375" style="44" customWidth="1"/>
    <col min="1031" max="1031" width="18.77734375" style="44" customWidth="1"/>
    <col min="1032" max="1032" width="12.77734375" style="44" customWidth="1"/>
    <col min="1033" max="1033" width="13.21875" style="44" customWidth="1"/>
    <col min="1034" max="1280" width="9.21875" style="44"/>
    <col min="1281" max="1281" width="45.77734375" style="44" customWidth="1"/>
    <col min="1282" max="1283" width="14.21875" style="44" customWidth="1"/>
    <col min="1284" max="1284" width="13.77734375" style="44" customWidth="1"/>
    <col min="1285" max="1285" width="13.5546875" style="44" customWidth="1"/>
    <col min="1286" max="1286" width="13.77734375" style="44" customWidth="1"/>
    <col min="1287" max="1287" width="18.77734375" style="44" customWidth="1"/>
    <col min="1288" max="1288" width="12.77734375" style="44" customWidth="1"/>
    <col min="1289" max="1289" width="13.21875" style="44" customWidth="1"/>
    <col min="1290" max="1536" width="9.21875" style="44"/>
    <col min="1537" max="1537" width="45.77734375" style="44" customWidth="1"/>
    <col min="1538" max="1539" width="14.21875" style="44" customWidth="1"/>
    <col min="1540" max="1540" width="13.77734375" style="44" customWidth="1"/>
    <col min="1541" max="1541" width="13.5546875" style="44" customWidth="1"/>
    <col min="1542" max="1542" width="13.77734375" style="44" customWidth="1"/>
    <col min="1543" max="1543" width="18.77734375" style="44" customWidth="1"/>
    <col min="1544" max="1544" width="12.77734375" style="44" customWidth="1"/>
    <col min="1545" max="1545" width="13.21875" style="44" customWidth="1"/>
    <col min="1546" max="1792" width="9.21875" style="44"/>
    <col min="1793" max="1793" width="45.77734375" style="44" customWidth="1"/>
    <col min="1794" max="1795" width="14.21875" style="44" customWidth="1"/>
    <col min="1796" max="1796" width="13.77734375" style="44" customWidth="1"/>
    <col min="1797" max="1797" width="13.5546875" style="44" customWidth="1"/>
    <col min="1798" max="1798" width="13.77734375" style="44" customWidth="1"/>
    <col min="1799" max="1799" width="18.77734375" style="44" customWidth="1"/>
    <col min="1800" max="1800" width="12.77734375" style="44" customWidth="1"/>
    <col min="1801" max="1801" width="13.21875" style="44" customWidth="1"/>
    <col min="1802" max="2048" width="9.21875" style="44"/>
    <col min="2049" max="2049" width="45.77734375" style="44" customWidth="1"/>
    <col min="2050" max="2051" width="14.21875" style="44" customWidth="1"/>
    <col min="2052" max="2052" width="13.77734375" style="44" customWidth="1"/>
    <col min="2053" max="2053" width="13.5546875" style="44" customWidth="1"/>
    <col min="2054" max="2054" width="13.77734375" style="44" customWidth="1"/>
    <col min="2055" max="2055" width="18.77734375" style="44" customWidth="1"/>
    <col min="2056" max="2056" width="12.77734375" style="44" customWidth="1"/>
    <col min="2057" max="2057" width="13.21875" style="44" customWidth="1"/>
    <col min="2058" max="2304" width="9.21875" style="44"/>
    <col min="2305" max="2305" width="45.77734375" style="44" customWidth="1"/>
    <col min="2306" max="2307" width="14.21875" style="44" customWidth="1"/>
    <col min="2308" max="2308" width="13.77734375" style="44" customWidth="1"/>
    <col min="2309" max="2309" width="13.5546875" style="44" customWidth="1"/>
    <col min="2310" max="2310" width="13.77734375" style="44" customWidth="1"/>
    <col min="2311" max="2311" width="18.77734375" style="44" customWidth="1"/>
    <col min="2312" max="2312" width="12.77734375" style="44" customWidth="1"/>
    <col min="2313" max="2313" width="13.21875" style="44" customWidth="1"/>
    <col min="2314" max="2560" width="9.21875" style="44"/>
    <col min="2561" max="2561" width="45.77734375" style="44" customWidth="1"/>
    <col min="2562" max="2563" width="14.21875" style="44" customWidth="1"/>
    <col min="2564" max="2564" width="13.77734375" style="44" customWidth="1"/>
    <col min="2565" max="2565" width="13.5546875" style="44" customWidth="1"/>
    <col min="2566" max="2566" width="13.77734375" style="44" customWidth="1"/>
    <col min="2567" max="2567" width="18.77734375" style="44" customWidth="1"/>
    <col min="2568" max="2568" width="12.77734375" style="44" customWidth="1"/>
    <col min="2569" max="2569" width="13.21875" style="44" customWidth="1"/>
    <col min="2570" max="2816" width="9.21875" style="44"/>
    <col min="2817" max="2817" width="45.77734375" style="44" customWidth="1"/>
    <col min="2818" max="2819" width="14.21875" style="44" customWidth="1"/>
    <col min="2820" max="2820" width="13.77734375" style="44" customWidth="1"/>
    <col min="2821" max="2821" width="13.5546875" style="44" customWidth="1"/>
    <col min="2822" max="2822" width="13.77734375" style="44" customWidth="1"/>
    <col min="2823" max="2823" width="18.77734375" style="44" customWidth="1"/>
    <col min="2824" max="2824" width="12.77734375" style="44" customWidth="1"/>
    <col min="2825" max="2825" width="13.21875" style="44" customWidth="1"/>
    <col min="2826" max="3072" width="9.21875" style="44"/>
    <col min="3073" max="3073" width="45.77734375" style="44" customWidth="1"/>
    <col min="3074" max="3075" width="14.21875" style="44" customWidth="1"/>
    <col min="3076" max="3076" width="13.77734375" style="44" customWidth="1"/>
    <col min="3077" max="3077" width="13.5546875" style="44" customWidth="1"/>
    <col min="3078" max="3078" width="13.77734375" style="44" customWidth="1"/>
    <col min="3079" max="3079" width="18.77734375" style="44" customWidth="1"/>
    <col min="3080" max="3080" width="12.77734375" style="44" customWidth="1"/>
    <col min="3081" max="3081" width="13.21875" style="44" customWidth="1"/>
    <col min="3082" max="3328" width="9.21875" style="44"/>
    <col min="3329" max="3329" width="45.77734375" style="44" customWidth="1"/>
    <col min="3330" max="3331" width="14.21875" style="44" customWidth="1"/>
    <col min="3332" max="3332" width="13.77734375" style="44" customWidth="1"/>
    <col min="3333" max="3333" width="13.5546875" style="44" customWidth="1"/>
    <col min="3334" max="3334" width="13.77734375" style="44" customWidth="1"/>
    <col min="3335" max="3335" width="18.77734375" style="44" customWidth="1"/>
    <col min="3336" max="3336" width="12.77734375" style="44" customWidth="1"/>
    <col min="3337" max="3337" width="13.21875" style="44" customWidth="1"/>
    <col min="3338" max="3584" width="9.21875" style="44"/>
    <col min="3585" max="3585" width="45.77734375" style="44" customWidth="1"/>
    <col min="3586" max="3587" width="14.21875" style="44" customWidth="1"/>
    <col min="3588" max="3588" width="13.77734375" style="44" customWidth="1"/>
    <col min="3589" max="3589" width="13.5546875" style="44" customWidth="1"/>
    <col min="3590" max="3590" width="13.77734375" style="44" customWidth="1"/>
    <col min="3591" max="3591" width="18.77734375" style="44" customWidth="1"/>
    <col min="3592" max="3592" width="12.77734375" style="44" customWidth="1"/>
    <col min="3593" max="3593" width="13.21875" style="44" customWidth="1"/>
    <col min="3594" max="3840" width="9.21875" style="44"/>
    <col min="3841" max="3841" width="45.77734375" style="44" customWidth="1"/>
    <col min="3842" max="3843" width="14.21875" style="44" customWidth="1"/>
    <col min="3844" max="3844" width="13.77734375" style="44" customWidth="1"/>
    <col min="3845" max="3845" width="13.5546875" style="44" customWidth="1"/>
    <col min="3846" max="3846" width="13.77734375" style="44" customWidth="1"/>
    <col min="3847" max="3847" width="18.77734375" style="44" customWidth="1"/>
    <col min="3848" max="3848" width="12.77734375" style="44" customWidth="1"/>
    <col min="3849" max="3849" width="13.21875" style="44" customWidth="1"/>
    <col min="3850" max="4096" width="9.21875" style="44"/>
    <col min="4097" max="4097" width="45.77734375" style="44" customWidth="1"/>
    <col min="4098" max="4099" width="14.21875" style="44" customWidth="1"/>
    <col min="4100" max="4100" width="13.77734375" style="44" customWidth="1"/>
    <col min="4101" max="4101" width="13.5546875" style="44" customWidth="1"/>
    <col min="4102" max="4102" width="13.77734375" style="44" customWidth="1"/>
    <col min="4103" max="4103" width="18.77734375" style="44" customWidth="1"/>
    <col min="4104" max="4104" width="12.77734375" style="44" customWidth="1"/>
    <col min="4105" max="4105" width="13.21875" style="44" customWidth="1"/>
    <col min="4106" max="4352" width="9.21875" style="44"/>
    <col min="4353" max="4353" width="45.77734375" style="44" customWidth="1"/>
    <col min="4354" max="4355" width="14.21875" style="44" customWidth="1"/>
    <col min="4356" max="4356" width="13.77734375" style="44" customWidth="1"/>
    <col min="4357" max="4357" width="13.5546875" style="44" customWidth="1"/>
    <col min="4358" max="4358" width="13.77734375" style="44" customWidth="1"/>
    <col min="4359" max="4359" width="18.77734375" style="44" customWidth="1"/>
    <col min="4360" max="4360" width="12.77734375" style="44" customWidth="1"/>
    <col min="4361" max="4361" width="13.21875" style="44" customWidth="1"/>
    <col min="4362" max="4608" width="9.21875" style="44"/>
    <col min="4609" max="4609" width="45.77734375" style="44" customWidth="1"/>
    <col min="4610" max="4611" width="14.21875" style="44" customWidth="1"/>
    <col min="4612" max="4612" width="13.77734375" style="44" customWidth="1"/>
    <col min="4613" max="4613" width="13.5546875" style="44" customWidth="1"/>
    <col min="4614" max="4614" width="13.77734375" style="44" customWidth="1"/>
    <col min="4615" max="4615" width="18.77734375" style="44" customWidth="1"/>
    <col min="4616" max="4616" width="12.77734375" style="44" customWidth="1"/>
    <col min="4617" max="4617" width="13.21875" style="44" customWidth="1"/>
    <col min="4618" max="4864" width="9.21875" style="44"/>
    <col min="4865" max="4865" width="45.77734375" style="44" customWidth="1"/>
    <col min="4866" max="4867" width="14.21875" style="44" customWidth="1"/>
    <col min="4868" max="4868" width="13.77734375" style="44" customWidth="1"/>
    <col min="4869" max="4869" width="13.5546875" style="44" customWidth="1"/>
    <col min="4870" max="4870" width="13.77734375" style="44" customWidth="1"/>
    <col min="4871" max="4871" width="18.77734375" style="44" customWidth="1"/>
    <col min="4872" max="4872" width="12.77734375" style="44" customWidth="1"/>
    <col min="4873" max="4873" width="13.21875" style="44" customWidth="1"/>
    <col min="4874" max="5120" width="9.21875" style="44"/>
    <col min="5121" max="5121" width="45.77734375" style="44" customWidth="1"/>
    <col min="5122" max="5123" width="14.21875" style="44" customWidth="1"/>
    <col min="5124" max="5124" width="13.77734375" style="44" customWidth="1"/>
    <col min="5125" max="5125" width="13.5546875" style="44" customWidth="1"/>
    <col min="5126" max="5126" width="13.77734375" style="44" customWidth="1"/>
    <col min="5127" max="5127" width="18.77734375" style="44" customWidth="1"/>
    <col min="5128" max="5128" width="12.77734375" style="44" customWidth="1"/>
    <col min="5129" max="5129" width="13.21875" style="44" customWidth="1"/>
    <col min="5130" max="5376" width="9.21875" style="44"/>
    <col min="5377" max="5377" width="45.77734375" style="44" customWidth="1"/>
    <col min="5378" max="5379" width="14.21875" style="44" customWidth="1"/>
    <col min="5380" max="5380" width="13.77734375" style="44" customWidth="1"/>
    <col min="5381" max="5381" width="13.5546875" style="44" customWidth="1"/>
    <col min="5382" max="5382" width="13.77734375" style="44" customWidth="1"/>
    <col min="5383" max="5383" width="18.77734375" style="44" customWidth="1"/>
    <col min="5384" max="5384" width="12.77734375" style="44" customWidth="1"/>
    <col min="5385" max="5385" width="13.21875" style="44" customWidth="1"/>
    <col min="5386" max="5632" width="9.21875" style="44"/>
    <col min="5633" max="5633" width="45.77734375" style="44" customWidth="1"/>
    <col min="5634" max="5635" width="14.21875" style="44" customWidth="1"/>
    <col min="5636" max="5636" width="13.77734375" style="44" customWidth="1"/>
    <col min="5637" max="5637" width="13.5546875" style="44" customWidth="1"/>
    <col min="5638" max="5638" width="13.77734375" style="44" customWidth="1"/>
    <col min="5639" max="5639" width="18.77734375" style="44" customWidth="1"/>
    <col min="5640" max="5640" width="12.77734375" style="44" customWidth="1"/>
    <col min="5641" max="5641" width="13.21875" style="44" customWidth="1"/>
    <col min="5642" max="5888" width="9.21875" style="44"/>
    <col min="5889" max="5889" width="45.77734375" style="44" customWidth="1"/>
    <col min="5890" max="5891" width="14.21875" style="44" customWidth="1"/>
    <col min="5892" max="5892" width="13.77734375" style="44" customWidth="1"/>
    <col min="5893" max="5893" width="13.5546875" style="44" customWidth="1"/>
    <col min="5894" max="5894" width="13.77734375" style="44" customWidth="1"/>
    <col min="5895" max="5895" width="18.77734375" style="44" customWidth="1"/>
    <col min="5896" max="5896" width="12.77734375" style="44" customWidth="1"/>
    <col min="5897" max="5897" width="13.21875" style="44" customWidth="1"/>
    <col min="5898" max="6144" width="9.21875" style="44"/>
    <col min="6145" max="6145" width="45.77734375" style="44" customWidth="1"/>
    <col min="6146" max="6147" width="14.21875" style="44" customWidth="1"/>
    <col min="6148" max="6148" width="13.77734375" style="44" customWidth="1"/>
    <col min="6149" max="6149" width="13.5546875" style="44" customWidth="1"/>
    <col min="6150" max="6150" width="13.77734375" style="44" customWidth="1"/>
    <col min="6151" max="6151" width="18.77734375" style="44" customWidth="1"/>
    <col min="6152" max="6152" width="12.77734375" style="44" customWidth="1"/>
    <col min="6153" max="6153" width="13.21875" style="44" customWidth="1"/>
    <col min="6154" max="6400" width="9.21875" style="44"/>
    <col min="6401" max="6401" width="45.77734375" style="44" customWidth="1"/>
    <col min="6402" max="6403" width="14.21875" style="44" customWidth="1"/>
    <col min="6404" max="6404" width="13.77734375" style="44" customWidth="1"/>
    <col min="6405" max="6405" width="13.5546875" style="44" customWidth="1"/>
    <col min="6406" max="6406" width="13.77734375" style="44" customWidth="1"/>
    <col min="6407" max="6407" width="18.77734375" style="44" customWidth="1"/>
    <col min="6408" max="6408" width="12.77734375" style="44" customWidth="1"/>
    <col min="6409" max="6409" width="13.21875" style="44" customWidth="1"/>
    <col min="6410" max="6656" width="9.21875" style="44"/>
    <col min="6657" max="6657" width="45.77734375" style="44" customWidth="1"/>
    <col min="6658" max="6659" width="14.21875" style="44" customWidth="1"/>
    <col min="6660" max="6660" width="13.77734375" style="44" customWidth="1"/>
    <col min="6661" max="6661" width="13.5546875" style="44" customWidth="1"/>
    <col min="6662" max="6662" width="13.77734375" style="44" customWidth="1"/>
    <col min="6663" max="6663" width="18.77734375" style="44" customWidth="1"/>
    <col min="6664" max="6664" width="12.77734375" style="44" customWidth="1"/>
    <col min="6665" max="6665" width="13.21875" style="44" customWidth="1"/>
    <col min="6666" max="6912" width="9.21875" style="44"/>
    <col min="6913" max="6913" width="45.77734375" style="44" customWidth="1"/>
    <col min="6914" max="6915" width="14.21875" style="44" customWidth="1"/>
    <col min="6916" max="6916" width="13.77734375" style="44" customWidth="1"/>
    <col min="6917" max="6917" width="13.5546875" style="44" customWidth="1"/>
    <col min="6918" max="6918" width="13.77734375" style="44" customWidth="1"/>
    <col min="6919" max="6919" width="18.77734375" style="44" customWidth="1"/>
    <col min="6920" max="6920" width="12.77734375" style="44" customWidth="1"/>
    <col min="6921" max="6921" width="13.21875" style="44" customWidth="1"/>
    <col min="6922" max="7168" width="9.21875" style="44"/>
    <col min="7169" max="7169" width="45.77734375" style="44" customWidth="1"/>
    <col min="7170" max="7171" width="14.21875" style="44" customWidth="1"/>
    <col min="7172" max="7172" width="13.77734375" style="44" customWidth="1"/>
    <col min="7173" max="7173" width="13.5546875" style="44" customWidth="1"/>
    <col min="7174" max="7174" width="13.77734375" style="44" customWidth="1"/>
    <col min="7175" max="7175" width="18.77734375" style="44" customWidth="1"/>
    <col min="7176" max="7176" width="12.77734375" style="44" customWidth="1"/>
    <col min="7177" max="7177" width="13.21875" style="44" customWidth="1"/>
    <col min="7178" max="7424" width="9.21875" style="44"/>
    <col min="7425" max="7425" width="45.77734375" style="44" customWidth="1"/>
    <col min="7426" max="7427" width="14.21875" style="44" customWidth="1"/>
    <col min="7428" max="7428" width="13.77734375" style="44" customWidth="1"/>
    <col min="7429" max="7429" width="13.5546875" style="44" customWidth="1"/>
    <col min="7430" max="7430" width="13.77734375" style="44" customWidth="1"/>
    <col min="7431" max="7431" width="18.77734375" style="44" customWidth="1"/>
    <col min="7432" max="7432" width="12.77734375" style="44" customWidth="1"/>
    <col min="7433" max="7433" width="13.21875" style="44" customWidth="1"/>
    <col min="7434" max="7680" width="9.21875" style="44"/>
    <col min="7681" max="7681" width="45.77734375" style="44" customWidth="1"/>
    <col min="7682" max="7683" width="14.21875" style="44" customWidth="1"/>
    <col min="7684" max="7684" width="13.77734375" style="44" customWidth="1"/>
    <col min="7685" max="7685" width="13.5546875" style="44" customWidth="1"/>
    <col min="7686" max="7686" width="13.77734375" style="44" customWidth="1"/>
    <col min="7687" max="7687" width="18.77734375" style="44" customWidth="1"/>
    <col min="7688" max="7688" width="12.77734375" style="44" customWidth="1"/>
    <col min="7689" max="7689" width="13.21875" style="44" customWidth="1"/>
    <col min="7690" max="7936" width="9.21875" style="44"/>
    <col min="7937" max="7937" width="45.77734375" style="44" customWidth="1"/>
    <col min="7938" max="7939" width="14.21875" style="44" customWidth="1"/>
    <col min="7940" max="7940" width="13.77734375" style="44" customWidth="1"/>
    <col min="7941" max="7941" width="13.5546875" style="44" customWidth="1"/>
    <col min="7942" max="7942" width="13.77734375" style="44" customWidth="1"/>
    <col min="7943" max="7943" width="18.77734375" style="44" customWidth="1"/>
    <col min="7944" max="7944" width="12.77734375" style="44" customWidth="1"/>
    <col min="7945" max="7945" width="13.21875" style="44" customWidth="1"/>
    <col min="7946" max="8192" width="9.21875" style="44"/>
    <col min="8193" max="8193" width="45.77734375" style="44" customWidth="1"/>
    <col min="8194" max="8195" width="14.21875" style="44" customWidth="1"/>
    <col min="8196" max="8196" width="13.77734375" style="44" customWidth="1"/>
    <col min="8197" max="8197" width="13.5546875" style="44" customWidth="1"/>
    <col min="8198" max="8198" width="13.77734375" style="44" customWidth="1"/>
    <col min="8199" max="8199" width="18.77734375" style="44" customWidth="1"/>
    <col min="8200" max="8200" width="12.77734375" style="44" customWidth="1"/>
    <col min="8201" max="8201" width="13.21875" style="44" customWidth="1"/>
    <col min="8202" max="8448" width="9.21875" style="44"/>
    <col min="8449" max="8449" width="45.77734375" style="44" customWidth="1"/>
    <col min="8450" max="8451" width="14.21875" style="44" customWidth="1"/>
    <col min="8452" max="8452" width="13.77734375" style="44" customWidth="1"/>
    <col min="8453" max="8453" width="13.5546875" style="44" customWidth="1"/>
    <col min="8454" max="8454" width="13.77734375" style="44" customWidth="1"/>
    <col min="8455" max="8455" width="18.77734375" style="44" customWidth="1"/>
    <col min="8456" max="8456" width="12.77734375" style="44" customWidth="1"/>
    <col min="8457" max="8457" width="13.21875" style="44" customWidth="1"/>
    <col min="8458" max="8704" width="9.21875" style="44"/>
    <col min="8705" max="8705" width="45.77734375" style="44" customWidth="1"/>
    <col min="8706" max="8707" width="14.21875" style="44" customWidth="1"/>
    <col min="8708" max="8708" width="13.77734375" style="44" customWidth="1"/>
    <col min="8709" max="8709" width="13.5546875" style="44" customWidth="1"/>
    <col min="8710" max="8710" width="13.77734375" style="44" customWidth="1"/>
    <col min="8711" max="8711" width="18.77734375" style="44" customWidth="1"/>
    <col min="8712" max="8712" width="12.77734375" style="44" customWidth="1"/>
    <col min="8713" max="8713" width="13.21875" style="44" customWidth="1"/>
    <col min="8714" max="8960" width="9.21875" style="44"/>
    <col min="8961" max="8961" width="45.77734375" style="44" customWidth="1"/>
    <col min="8962" max="8963" width="14.21875" style="44" customWidth="1"/>
    <col min="8964" max="8964" width="13.77734375" style="44" customWidth="1"/>
    <col min="8965" max="8965" width="13.5546875" style="44" customWidth="1"/>
    <col min="8966" max="8966" width="13.77734375" style="44" customWidth="1"/>
    <col min="8967" max="8967" width="18.77734375" style="44" customWidth="1"/>
    <col min="8968" max="8968" width="12.77734375" style="44" customWidth="1"/>
    <col min="8969" max="8969" width="13.21875" style="44" customWidth="1"/>
    <col min="8970" max="9216" width="9.21875" style="44"/>
    <col min="9217" max="9217" width="45.77734375" style="44" customWidth="1"/>
    <col min="9218" max="9219" width="14.21875" style="44" customWidth="1"/>
    <col min="9220" max="9220" width="13.77734375" style="44" customWidth="1"/>
    <col min="9221" max="9221" width="13.5546875" style="44" customWidth="1"/>
    <col min="9222" max="9222" width="13.77734375" style="44" customWidth="1"/>
    <col min="9223" max="9223" width="18.77734375" style="44" customWidth="1"/>
    <col min="9224" max="9224" width="12.77734375" style="44" customWidth="1"/>
    <col min="9225" max="9225" width="13.21875" style="44" customWidth="1"/>
    <col min="9226" max="9472" width="9.21875" style="44"/>
    <col min="9473" max="9473" width="45.77734375" style="44" customWidth="1"/>
    <col min="9474" max="9475" width="14.21875" style="44" customWidth="1"/>
    <col min="9476" max="9476" width="13.77734375" style="44" customWidth="1"/>
    <col min="9477" max="9477" width="13.5546875" style="44" customWidth="1"/>
    <col min="9478" max="9478" width="13.77734375" style="44" customWidth="1"/>
    <col min="9479" max="9479" width="18.77734375" style="44" customWidth="1"/>
    <col min="9480" max="9480" width="12.77734375" style="44" customWidth="1"/>
    <col min="9481" max="9481" width="13.21875" style="44" customWidth="1"/>
    <col min="9482" max="9728" width="9.21875" style="44"/>
    <col min="9729" max="9729" width="45.77734375" style="44" customWidth="1"/>
    <col min="9730" max="9731" width="14.21875" style="44" customWidth="1"/>
    <col min="9732" max="9732" width="13.77734375" style="44" customWidth="1"/>
    <col min="9733" max="9733" width="13.5546875" style="44" customWidth="1"/>
    <col min="9734" max="9734" width="13.77734375" style="44" customWidth="1"/>
    <col min="9735" max="9735" width="18.77734375" style="44" customWidth="1"/>
    <col min="9736" max="9736" width="12.77734375" style="44" customWidth="1"/>
    <col min="9737" max="9737" width="13.21875" style="44" customWidth="1"/>
    <col min="9738" max="9984" width="9.21875" style="44"/>
    <col min="9985" max="9985" width="45.77734375" style="44" customWidth="1"/>
    <col min="9986" max="9987" width="14.21875" style="44" customWidth="1"/>
    <col min="9988" max="9988" width="13.77734375" style="44" customWidth="1"/>
    <col min="9989" max="9989" width="13.5546875" style="44" customWidth="1"/>
    <col min="9990" max="9990" width="13.77734375" style="44" customWidth="1"/>
    <col min="9991" max="9991" width="18.77734375" style="44" customWidth="1"/>
    <col min="9992" max="9992" width="12.77734375" style="44" customWidth="1"/>
    <col min="9993" max="9993" width="13.21875" style="44" customWidth="1"/>
    <col min="9994" max="10240" width="9.21875" style="44"/>
    <col min="10241" max="10241" width="45.77734375" style="44" customWidth="1"/>
    <col min="10242" max="10243" width="14.21875" style="44" customWidth="1"/>
    <col min="10244" max="10244" width="13.77734375" style="44" customWidth="1"/>
    <col min="10245" max="10245" width="13.5546875" style="44" customWidth="1"/>
    <col min="10246" max="10246" width="13.77734375" style="44" customWidth="1"/>
    <col min="10247" max="10247" width="18.77734375" style="44" customWidth="1"/>
    <col min="10248" max="10248" width="12.77734375" style="44" customWidth="1"/>
    <col min="10249" max="10249" width="13.21875" style="44" customWidth="1"/>
    <col min="10250" max="10496" width="9.21875" style="44"/>
    <col min="10497" max="10497" width="45.77734375" style="44" customWidth="1"/>
    <col min="10498" max="10499" width="14.21875" style="44" customWidth="1"/>
    <col min="10500" max="10500" width="13.77734375" style="44" customWidth="1"/>
    <col min="10501" max="10501" width="13.5546875" style="44" customWidth="1"/>
    <col min="10502" max="10502" width="13.77734375" style="44" customWidth="1"/>
    <col min="10503" max="10503" width="18.77734375" style="44" customWidth="1"/>
    <col min="10504" max="10504" width="12.77734375" style="44" customWidth="1"/>
    <col min="10505" max="10505" width="13.21875" style="44" customWidth="1"/>
    <col min="10506" max="10752" width="9.21875" style="44"/>
    <col min="10753" max="10753" width="45.77734375" style="44" customWidth="1"/>
    <col min="10754" max="10755" width="14.21875" style="44" customWidth="1"/>
    <col min="10756" max="10756" width="13.77734375" style="44" customWidth="1"/>
    <col min="10757" max="10757" width="13.5546875" style="44" customWidth="1"/>
    <col min="10758" max="10758" width="13.77734375" style="44" customWidth="1"/>
    <col min="10759" max="10759" width="18.77734375" style="44" customWidth="1"/>
    <col min="10760" max="10760" width="12.77734375" style="44" customWidth="1"/>
    <col min="10761" max="10761" width="13.21875" style="44" customWidth="1"/>
    <col min="10762" max="11008" width="9.21875" style="44"/>
    <col min="11009" max="11009" width="45.77734375" style="44" customWidth="1"/>
    <col min="11010" max="11011" width="14.21875" style="44" customWidth="1"/>
    <col min="11012" max="11012" width="13.77734375" style="44" customWidth="1"/>
    <col min="11013" max="11013" width="13.5546875" style="44" customWidth="1"/>
    <col min="11014" max="11014" width="13.77734375" style="44" customWidth="1"/>
    <col min="11015" max="11015" width="18.77734375" style="44" customWidth="1"/>
    <col min="11016" max="11016" width="12.77734375" style="44" customWidth="1"/>
    <col min="11017" max="11017" width="13.21875" style="44" customWidth="1"/>
    <col min="11018" max="11264" width="9.21875" style="44"/>
    <col min="11265" max="11265" width="45.77734375" style="44" customWidth="1"/>
    <col min="11266" max="11267" width="14.21875" style="44" customWidth="1"/>
    <col min="11268" max="11268" width="13.77734375" style="44" customWidth="1"/>
    <col min="11269" max="11269" width="13.5546875" style="44" customWidth="1"/>
    <col min="11270" max="11270" width="13.77734375" style="44" customWidth="1"/>
    <col min="11271" max="11271" width="18.77734375" style="44" customWidth="1"/>
    <col min="11272" max="11272" width="12.77734375" style="44" customWidth="1"/>
    <col min="11273" max="11273" width="13.21875" style="44" customWidth="1"/>
    <col min="11274" max="11520" width="9.21875" style="44"/>
    <col min="11521" max="11521" width="45.77734375" style="44" customWidth="1"/>
    <col min="11522" max="11523" width="14.21875" style="44" customWidth="1"/>
    <col min="11524" max="11524" width="13.77734375" style="44" customWidth="1"/>
    <col min="11525" max="11525" width="13.5546875" style="44" customWidth="1"/>
    <col min="11526" max="11526" width="13.77734375" style="44" customWidth="1"/>
    <col min="11527" max="11527" width="18.77734375" style="44" customWidth="1"/>
    <col min="11528" max="11528" width="12.77734375" style="44" customWidth="1"/>
    <col min="11529" max="11529" width="13.21875" style="44" customWidth="1"/>
    <col min="11530" max="11776" width="9.21875" style="44"/>
    <col min="11777" max="11777" width="45.77734375" style="44" customWidth="1"/>
    <col min="11778" max="11779" width="14.21875" style="44" customWidth="1"/>
    <col min="11780" max="11780" width="13.77734375" style="44" customWidth="1"/>
    <col min="11781" max="11781" width="13.5546875" style="44" customWidth="1"/>
    <col min="11782" max="11782" width="13.77734375" style="44" customWidth="1"/>
    <col min="11783" max="11783" width="18.77734375" style="44" customWidth="1"/>
    <col min="11784" max="11784" width="12.77734375" style="44" customWidth="1"/>
    <col min="11785" max="11785" width="13.21875" style="44" customWidth="1"/>
    <col min="11786" max="12032" width="9.21875" style="44"/>
    <col min="12033" max="12033" width="45.77734375" style="44" customWidth="1"/>
    <col min="12034" max="12035" width="14.21875" style="44" customWidth="1"/>
    <col min="12036" max="12036" width="13.77734375" style="44" customWidth="1"/>
    <col min="12037" max="12037" width="13.5546875" style="44" customWidth="1"/>
    <col min="12038" max="12038" width="13.77734375" style="44" customWidth="1"/>
    <col min="12039" max="12039" width="18.77734375" style="44" customWidth="1"/>
    <col min="12040" max="12040" width="12.77734375" style="44" customWidth="1"/>
    <col min="12041" max="12041" width="13.21875" style="44" customWidth="1"/>
    <col min="12042" max="12288" width="9.21875" style="44"/>
    <col min="12289" max="12289" width="45.77734375" style="44" customWidth="1"/>
    <col min="12290" max="12291" width="14.21875" style="44" customWidth="1"/>
    <col min="12292" max="12292" width="13.77734375" style="44" customWidth="1"/>
    <col min="12293" max="12293" width="13.5546875" style="44" customWidth="1"/>
    <col min="12294" max="12294" width="13.77734375" style="44" customWidth="1"/>
    <col min="12295" max="12295" width="18.77734375" style="44" customWidth="1"/>
    <col min="12296" max="12296" width="12.77734375" style="44" customWidth="1"/>
    <col min="12297" max="12297" width="13.21875" style="44" customWidth="1"/>
    <col min="12298" max="12544" width="9.21875" style="44"/>
    <col min="12545" max="12545" width="45.77734375" style="44" customWidth="1"/>
    <col min="12546" max="12547" width="14.21875" style="44" customWidth="1"/>
    <col min="12548" max="12548" width="13.77734375" style="44" customWidth="1"/>
    <col min="12549" max="12549" width="13.5546875" style="44" customWidth="1"/>
    <col min="12550" max="12550" width="13.77734375" style="44" customWidth="1"/>
    <col min="12551" max="12551" width="18.77734375" style="44" customWidth="1"/>
    <col min="12552" max="12552" width="12.77734375" style="44" customWidth="1"/>
    <col min="12553" max="12553" width="13.21875" style="44" customWidth="1"/>
    <col min="12554" max="12800" width="9.21875" style="44"/>
    <col min="12801" max="12801" width="45.77734375" style="44" customWidth="1"/>
    <col min="12802" max="12803" width="14.21875" style="44" customWidth="1"/>
    <col min="12804" max="12804" width="13.77734375" style="44" customWidth="1"/>
    <col min="12805" max="12805" width="13.5546875" style="44" customWidth="1"/>
    <col min="12806" max="12806" width="13.77734375" style="44" customWidth="1"/>
    <col min="12807" max="12807" width="18.77734375" style="44" customWidth="1"/>
    <col min="12808" max="12808" width="12.77734375" style="44" customWidth="1"/>
    <col min="12809" max="12809" width="13.21875" style="44" customWidth="1"/>
    <col min="12810" max="13056" width="9.21875" style="44"/>
    <col min="13057" max="13057" width="45.77734375" style="44" customWidth="1"/>
    <col min="13058" max="13059" width="14.21875" style="44" customWidth="1"/>
    <col min="13060" max="13060" width="13.77734375" style="44" customWidth="1"/>
    <col min="13061" max="13061" width="13.5546875" style="44" customWidth="1"/>
    <col min="13062" max="13062" width="13.77734375" style="44" customWidth="1"/>
    <col min="13063" max="13063" width="18.77734375" style="44" customWidth="1"/>
    <col min="13064" max="13064" width="12.77734375" style="44" customWidth="1"/>
    <col min="13065" max="13065" width="13.21875" style="44" customWidth="1"/>
    <col min="13066" max="13312" width="9.21875" style="44"/>
    <col min="13313" max="13313" width="45.77734375" style="44" customWidth="1"/>
    <col min="13314" max="13315" width="14.21875" style="44" customWidth="1"/>
    <col min="13316" max="13316" width="13.77734375" style="44" customWidth="1"/>
    <col min="13317" max="13317" width="13.5546875" style="44" customWidth="1"/>
    <col min="13318" max="13318" width="13.77734375" style="44" customWidth="1"/>
    <col min="13319" max="13319" width="18.77734375" style="44" customWidth="1"/>
    <col min="13320" max="13320" width="12.77734375" style="44" customWidth="1"/>
    <col min="13321" max="13321" width="13.21875" style="44" customWidth="1"/>
    <col min="13322" max="13568" width="9.21875" style="44"/>
    <col min="13569" max="13569" width="45.77734375" style="44" customWidth="1"/>
    <col min="13570" max="13571" width="14.21875" style="44" customWidth="1"/>
    <col min="13572" max="13572" width="13.77734375" style="44" customWidth="1"/>
    <col min="13573" max="13573" width="13.5546875" style="44" customWidth="1"/>
    <col min="13574" max="13574" width="13.77734375" style="44" customWidth="1"/>
    <col min="13575" max="13575" width="18.77734375" style="44" customWidth="1"/>
    <col min="13576" max="13576" width="12.77734375" style="44" customWidth="1"/>
    <col min="13577" max="13577" width="13.21875" style="44" customWidth="1"/>
    <col min="13578" max="13824" width="9.21875" style="44"/>
    <col min="13825" max="13825" width="45.77734375" style="44" customWidth="1"/>
    <col min="13826" max="13827" width="14.21875" style="44" customWidth="1"/>
    <col min="13828" max="13828" width="13.77734375" style="44" customWidth="1"/>
    <col min="13829" max="13829" width="13.5546875" style="44" customWidth="1"/>
    <col min="13830" max="13830" width="13.77734375" style="44" customWidth="1"/>
    <col min="13831" max="13831" width="18.77734375" style="44" customWidth="1"/>
    <col min="13832" max="13832" width="12.77734375" style="44" customWidth="1"/>
    <col min="13833" max="13833" width="13.21875" style="44" customWidth="1"/>
    <col min="13834" max="14080" width="9.21875" style="44"/>
    <col min="14081" max="14081" width="45.77734375" style="44" customWidth="1"/>
    <col min="14082" max="14083" width="14.21875" style="44" customWidth="1"/>
    <col min="14084" max="14084" width="13.77734375" style="44" customWidth="1"/>
    <col min="14085" max="14085" width="13.5546875" style="44" customWidth="1"/>
    <col min="14086" max="14086" width="13.77734375" style="44" customWidth="1"/>
    <col min="14087" max="14087" width="18.77734375" style="44" customWidth="1"/>
    <col min="14088" max="14088" width="12.77734375" style="44" customWidth="1"/>
    <col min="14089" max="14089" width="13.21875" style="44" customWidth="1"/>
    <col min="14090" max="14336" width="9.21875" style="44"/>
    <col min="14337" max="14337" width="45.77734375" style="44" customWidth="1"/>
    <col min="14338" max="14339" width="14.21875" style="44" customWidth="1"/>
    <col min="14340" max="14340" width="13.77734375" style="44" customWidth="1"/>
    <col min="14341" max="14341" width="13.5546875" style="44" customWidth="1"/>
    <col min="14342" max="14342" width="13.77734375" style="44" customWidth="1"/>
    <col min="14343" max="14343" width="18.77734375" style="44" customWidth="1"/>
    <col min="14344" max="14344" width="12.77734375" style="44" customWidth="1"/>
    <col min="14345" max="14345" width="13.21875" style="44" customWidth="1"/>
    <col min="14346" max="14592" width="9.21875" style="44"/>
    <col min="14593" max="14593" width="45.77734375" style="44" customWidth="1"/>
    <col min="14594" max="14595" width="14.21875" style="44" customWidth="1"/>
    <col min="14596" max="14596" width="13.77734375" style="44" customWidth="1"/>
    <col min="14597" max="14597" width="13.5546875" style="44" customWidth="1"/>
    <col min="14598" max="14598" width="13.77734375" style="44" customWidth="1"/>
    <col min="14599" max="14599" width="18.77734375" style="44" customWidth="1"/>
    <col min="14600" max="14600" width="12.77734375" style="44" customWidth="1"/>
    <col min="14601" max="14601" width="13.21875" style="44" customWidth="1"/>
    <col min="14602" max="14848" width="9.21875" style="44"/>
    <col min="14849" max="14849" width="45.77734375" style="44" customWidth="1"/>
    <col min="14850" max="14851" width="14.21875" style="44" customWidth="1"/>
    <col min="14852" max="14852" width="13.77734375" style="44" customWidth="1"/>
    <col min="14853" max="14853" width="13.5546875" style="44" customWidth="1"/>
    <col min="14854" max="14854" width="13.77734375" style="44" customWidth="1"/>
    <col min="14855" max="14855" width="18.77734375" style="44" customWidth="1"/>
    <col min="14856" max="14856" width="12.77734375" style="44" customWidth="1"/>
    <col min="14857" max="14857" width="13.21875" style="44" customWidth="1"/>
    <col min="14858" max="15104" width="9.21875" style="44"/>
    <col min="15105" max="15105" width="45.77734375" style="44" customWidth="1"/>
    <col min="15106" max="15107" width="14.21875" style="44" customWidth="1"/>
    <col min="15108" max="15108" width="13.77734375" style="44" customWidth="1"/>
    <col min="15109" max="15109" width="13.5546875" style="44" customWidth="1"/>
    <col min="15110" max="15110" width="13.77734375" style="44" customWidth="1"/>
    <col min="15111" max="15111" width="18.77734375" style="44" customWidth="1"/>
    <col min="15112" max="15112" width="12.77734375" style="44" customWidth="1"/>
    <col min="15113" max="15113" width="13.21875" style="44" customWidth="1"/>
    <col min="15114" max="15360" width="9.21875" style="44"/>
    <col min="15361" max="15361" width="45.77734375" style="44" customWidth="1"/>
    <col min="15362" max="15363" width="14.21875" style="44" customWidth="1"/>
    <col min="15364" max="15364" width="13.77734375" style="44" customWidth="1"/>
    <col min="15365" max="15365" width="13.5546875" style="44" customWidth="1"/>
    <col min="15366" max="15366" width="13.77734375" style="44" customWidth="1"/>
    <col min="15367" max="15367" width="18.77734375" style="44" customWidth="1"/>
    <col min="15368" max="15368" width="12.77734375" style="44" customWidth="1"/>
    <col min="15369" max="15369" width="13.21875" style="44" customWidth="1"/>
    <col min="15370" max="15616" width="9.21875" style="44"/>
    <col min="15617" max="15617" width="45.77734375" style="44" customWidth="1"/>
    <col min="15618" max="15619" width="14.21875" style="44" customWidth="1"/>
    <col min="15620" max="15620" width="13.77734375" style="44" customWidth="1"/>
    <col min="15621" max="15621" width="13.5546875" style="44" customWidth="1"/>
    <col min="15622" max="15622" width="13.77734375" style="44" customWidth="1"/>
    <col min="15623" max="15623" width="18.77734375" style="44" customWidth="1"/>
    <col min="15624" max="15624" width="12.77734375" style="44" customWidth="1"/>
    <col min="15625" max="15625" width="13.21875" style="44" customWidth="1"/>
    <col min="15626" max="15872" width="9.21875" style="44"/>
    <col min="15873" max="15873" width="45.77734375" style="44" customWidth="1"/>
    <col min="15874" max="15875" width="14.21875" style="44" customWidth="1"/>
    <col min="15876" max="15876" width="13.77734375" style="44" customWidth="1"/>
    <col min="15877" max="15877" width="13.5546875" style="44" customWidth="1"/>
    <col min="15878" max="15878" width="13.77734375" style="44" customWidth="1"/>
    <col min="15879" max="15879" width="18.77734375" style="44" customWidth="1"/>
    <col min="15880" max="15880" width="12.77734375" style="44" customWidth="1"/>
    <col min="15881" max="15881" width="13.21875" style="44" customWidth="1"/>
    <col min="15882" max="16128" width="9.21875" style="44"/>
    <col min="16129" max="16129" width="45.77734375" style="44" customWidth="1"/>
    <col min="16130" max="16131" width="14.21875" style="44" customWidth="1"/>
    <col min="16132" max="16132" width="13.77734375" style="44" customWidth="1"/>
    <col min="16133" max="16133" width="13.5546875" style="44" customWidth="1"/>
    <col min="16134" max="16134" width="13.77734375" style="44" customWidth="1"/>
    <col min="16135" max="16135" width="18.77734375" style="44" customWidth="1"/>
    <col min="16136" max="16136" width="12.77734375" style="44" customWidth="1"/>
    <col min="16137" max="16137" width="13.21875" style="44" customWidth="1"/>
    <col min="16138" max="16384" width="9.21875" style="44"/>
  </cols>
  <sheetData>
    <row r="1" spans="1:9" x14ac:dyDescent="0.2">
      <c r="A1" s="180"/>
    </row>
    <row r="2" spans="1:9" ht="13.2" x14ac:dyDescent="0.25">
      <c r="A2" s="412" t="s">
        <v>968</v>
      </c>
      <c r="B2" s="412"/>
      <c r="C2" s="412"/>
      <c r="D2" s="412"/>
      <c r="E2" s="412"/>
      <c r="F2" s="412"/>
    </row>
    <row r="3" spans="1:9" x14ac:dyDescent="0.2">
      <c r="B3" s="662"/>
      <c r="C3" s="662"/>
    </row>
    <row r="4" spans="1:9" x14ac:dyDescent="0.2">
      <c r="A4" s="115" t="s">
        <v>189</v>
      </c>
      <c r="B4" s="461">
        <v>43465</v>
      </c>
      <c r="C4" s="461">
        <v>43100</v>
      </c>
    </row>
    <row r="5" spans="1:9" ht="20.399999999999999" x14ac:dyDescent="0.2">
      <c r="A5" s="55" t="s">
        <v>187</v>
      </c>
      <c r="B5" s="209">
        <v>5000</v>
      </c>
      <c r="C5" s="209">
        <v>88112</v>
      </c>
    </row>
    <row r="6" spans="1:9" x14ac:dyDescent="0.2">
      <c r="A6" s="55" t="s">
        <v>188</v>
      </c>
      <c r="B6" s="209">
        <v>0</v>
      </c>
      <c r="C6" s="209">
        <v>0</v>
      </c>
    </row>
    <row r="7" spans="1:9" x14ac:dyDescent="0.2">
      <c r="A7" s="53" t="s">
        <v>28</v>
      </c>
      <c r="B7" s="92">
        <f>SUM(B5:B6)</f>
        <v>5000</v>
      </c>
      <c r="C7" s="92">
        <f>SUM(C5:C6)</f>
        <v>88112</v>
      </c>
    </row>
    <row r="8" spans="1:9" x14ac:dyDescent="0.2">
      <c r="B8" s="320">
        <f>Aktywa!D9</f>
        <v>5000</v>
      </c>
      <c r="C8" s="320">
        <f>Aktywa!E9</f>
        <v>88112</v>
      </c>
    </row>
    <row r="10" spans="1:9" x14ac:dyDescent="0.2">
      <c r="A10" s="54" t="s">
        <v>841</v>
      </c>
    </row>
    <row r="11" spans="1:9" x14ac:dyDescent="0.2">
      <c r="A11" s="54"/>
    </row>
    <row r="12" spans="1:9" ht="41.25" customHeight="1" x14ac:dyDescent="0.2">
      <c r="A12" s="73" t="s">
        <v>164</v>
      </c>
      <c r="B12" s="73" t="s">
        <v>537</v>
      </c>
      <c r="C12" s="73" t="s">
        <v>538</v>
      </c>
      <c r="D12" s="73" t="s">
        <v>539</v>
      </c>
      <c r="E12" s="73" t="s">
        <v>540</v>
      </c>
      <c r="F12" s="73" t="s">
        <v>541</v>
      </c>
      <c r="G12" s="73" t="s">
        <v>190</v>
      </c>
      <c r="H12" s="136"/>
      <c r="I12" s="136"/>
    </row>
    <row r="13" spans="1:9" x14ac:dyDescent="0.2">
      <c r="A13" s="113" t="s">
        <v>806</v>
      </c>
      <c r="B13" s="170">
        <v>105075</v>
      </c>
      <c r="C13" s="78">
        <v>105075</v>
      </c>
      <c r="D13" s="78">
        <f>B13-C13</f>
        <v>0</v>
      </c>
      <c r="E13" s="112">
        <v>100</v>
      </c>
      <c r="F13" s="112">
        <v>100</v>
      </c>
      <c r="G13" s="112" t="s">
        <v>690</v>
      </c>
    </row>
    <row r="14" spans="1:9" x14ac:dyDescent="0.2">
      <c r="A14" s="113" t="s">
        <v>708</v>
      </c>
      <c r="B14" s="170">
        <v>5000</v>
      </c>
      <c r="C14" s="78">
        <v>0</v>
      </c>
      <c r="D14" s="78">
        <v>5000</v>
      </c>
      <c r="E14" s="112">
        <v>50</v>
      </c>
      <c r="F14" s="112">
        <v>50</v>
      </c>
      <c r="G14" s="112" t="s">
        <v>690</v>
      </c>
    </row>
    <row r="15" spans="1:9" hidden="1" x14ac:dyDescent="0.2">
      <c r="A15" s="113"/>
      <c r="B15" s="170"/>
      <c r="C15" s="78"/>
      <c r="D15" s="78"/>
      <c r="E15" s="112"/>
      <c r="F15" s="112"/>
      <c r="G15" s="112"/>
    </row>
    <row r="16" spans="1:9" s="52" customFormat="1" x14ac:dyDescent="0.2">
      <c r="A16" s="351" t="s">
        <v>554</v>
      </c>
      <c r="B16" s="153">
        <f>SUM(B13:B15)</f>
        <v>110075</v>
      </c>
      <c r="C16" s="153">
        <f>SUM(C13:C15)</f>
        <v>105075</v>
      </c>
      <c r="D16" s="153">
        <f>SUM(D13:D15)</f>
        <v>5000</v>
      </c>
      <c r="E16" s="153"/>
      <c r="F16" s="153"/>
      <c r="G16" s="352"/>
    </row>
    <row r="17" spans="1:9" x14ac:dyDescent="0.2">
      <c r="A17" s="116"/>
      <c r="D17" s="320">
        <f>Aktywa!D9</f>
        <v>5000</v>
      </c>
    </row>
    <row r="18" spans="1:9" x14ac:dyDescent="0.2">
      <c r="A18" s="116"/>
    </row>
    <row r="19" spans="1:9" ht="20.399999999999999" x14ac:dyDescent="0.2">
      <c r="A19" s="73" t="s">
        <v>66</v>
      </c>
      <c r="B19" s="73" t="s">
        <v>373</v>
      </c>
      <c r="C19" s="73" t="s">
        <v>374</v>
      </c>
      <c r="D19" s="73" t="s">
        <v>542</v>
      </c>
      <c r="E19" s="73" t="s">
        <v>543</v>
      </c>
      <c r="F19" s="73" t="s">
        <v>544</v>
      </c>
      <c r="G19" s="73" t="s">
        <v>545</v>
      </c>
      <c r="H19" s="73" t="s">
        <v>546</v>
      </c>
      <c r="I19" s="73" t="s">
        <v>547</v>
      </c>
    </row>
    <row r="20" spans="1:9" x14ac:dyDescent="0.2">
      <c r="A20" s="582">
        <v>-183040.72</v>
      </c>
      <c r="B20" s="582">
        <v>107500</v>
      </c>
      <c r="C20" s="582">
        <v>-232795.16</v>
      </c>
      <c r="D20" s="582">
        <v>-57745.56</v>
      </c>
      <c r="E20" s="582">
        <v>24062.67</v>
      </c>
      <c r="F20" s="582">
        <v>1118</v>
      </c>
      <c r="G20" s="582">
        <v>22944.67</v>
      </c>
      <c r="H20" s="582">
        <v>207103.39</v>
      </c>
      <c r="I20" s="582">
        <v>0</v>
      </c>
    </row>
    <row r="21" spans="1:9" x14ac:dyDescent="0.2">
      <c r="A21" s="582">
        <f>B21+C21+D21</f>
        <v>8116.28</v>
      </c>
      <c r="B21" s="582">
        <v>10000</v>
      </c>
      <c r="C21" s="582">
        <v>0</v>
      </c>
      <c r="D21" s="582">
        <f>5906.21-7789.93</f>
        <v>-1883.7200000000003</v>
      </c>
      <c r="E21" s="582">
        <v>57976.480000000003</v>
      </c>
      <c r="F21" s="582">
        <v>3104</v>
      </c>
      <c r="G21" s="582">
        <v>54872.480000000003</v>
      </c>
      <c r="H21" s="582">
        <v>49860.2</v>
      </c>
      <c r="I21" s="582">
        <v>83787</v>
      </c>
    </row>
    <row r="22" spans="1:9" hidden="1" x14ac:dyDescent="0.2">
      <c r="A22" s="78"/>
      <c r="B22" s="78"/>
      <c r="C22" s="78"/>
      <c r="D22" s="78"/>
      <c r="E22" s="78"/>
      <c r="F22" s="78"/>
      <c r="G22" s="78"/>
      <c r="H22" s="170"/>
      <c r="I22" s="170"/>
    </row>
    <row r="23" spans="1:9" x14ac:dyDescent="0.2">
      <c r="A23" s="116"/>
    </row>
    <row r="24" spans="1:9" x14ac:dyDescent="0.2">
      <c r="A24" s="54" t="s">
        <v>792</v>
      </c>
    </row>
    <row r="25" spans="1:9" x14ac:dyDescent="0.2">
      <c r="A25" s="54"/>
    </row>
    <row r="26" spans="1:9" ht="30.6" x14ac:dyDescent="0.2">
      <c r="A26" s="73" t="s">
        <v>164</v>
      </c>
      <c r="B26" s="73" t="s">
        <v>537</v>
      </c>
      <c r="C26" s="73" t="s">
        <v>538</v>
      </c>
      <c r="D26" s="73" t="s">
        <v>539</v>
      </c>
      <c r="E26" s="73" t="s">
        <v>540</v>
      </c>
      <c r="F26" s="73" t="s">
        <v>541</v>
      </c>
      <c r="G26" s="73" t="s">
        <v>190</v>
      </c>
      <c r="H26" s="136"/>
      <c r="I26" s="136"/>
    </row>
    <row r="27" spans="1:9" x14ac:dyDescent="0.2">
      <c r="A27" s="113" t="s">
        <v>806</v>
      </c>
      <c r="B27" s="170">
        <v>105075</v>
      </c>
      <c r="C27" s="78">
        <f>137.5+52537.5</f>
        <v>52675</v>
      </c>
      <c r="D27" s="78">
        <f>B27-C27</f>
        <v>52400</v>
      </c>
      <c r="E27" s="112">
        <v>100</v>
      </c>
      <c r="F27" s="112">
        <v>100</v>
      </c>
      <c r="G27" s="112" t="s">
        <v>690</v>
      </c>
      <c r="H27" s="136"/>
      <c r="I27" s="136"/>
    </row>
    <row r="28" spans="1:9" x14ac:dyDescent="0.2">
      <c r="A28" s="113" t="s">
        <v>708</v>
      </c>
      <c r="B28" s="170">
        <v>5000</v>
      </c>
      <c r="C28" s="78">
        <v>0</v>
      </c>
      <c r="D28" s="78">
        <v>5000</v>
      </c>
      <c r="E28" s="112">
        <v>50</v>
      </c>
      <c r="F28" s="112">
        <v>50</v>
      </c>
      <c r="G28" s="112" t="s">
        <v>690</v>
      </c>
    </row>
    <row r="29" spans="1:9" x14ac:dyDescent="0.2">
      <c r="A29" s="113" t="s">
        <v>807</v>
      </c>
      <c r="B29" s="170">
        <v>273495</v>
      </c>
      <c r="C29" s="78">
        <v>0</v>
      </c>
      <c r="D29" s="78">
        <v>273495</v>
      </c>
      <c r="E29" s="112">
        <v>87</v>
      </c>
      <c r="F29" s="112">
        <v>87</v>
      </c>
      <c r="G29" s="112" t="s">
        <v>690</v>
      </c>
    </row>
    <row r="30" spans="1:9" x14ac:dyDescent="0.2">
      <c r="A30" s="351" t="s">
        <v>554</v>
      </c>
      <c r="B30" s="153">
        <f>SUM(B27:B29)</f>
        <v>383570</v>
      </c>
      <c r="C30" s="153">
        <f t="shared" ref="C30:D30" si="0">SUM(C27:C29)</f>
        <v>52675</v>
      </c>
      <c r="D30" s="153">
        <f t="shared" si="0"/>
        <v>330895</v>
      </c>
      <c r="E30" s="153"/>
      <c r="F30" s="153"/>
      <c r="G30" s="352"/>
    </row>
    <row r="31" spans="1:9" x14ac:dyDescent="0.2">
      <c r="A31" s="116"/>
      <c r="B31" s="383"/>
      <c r="C31" s="383"/>
      <c r="D31" s="320"/>
      <c r="E31" s="383"/>
      <c r="F31" s="383"/>
    </row>
    <row r="32" spans="1:9" x14ac:dyDescent="0.2">
      <c r="A32" s="116"/>
    </row>
    <row r="33" spans="1:9" ht="20.399999999999999" x14ac:dyDescent="0.2">
      <c r="A33" s="73" t="s">
        <v>66</v>
      </c>
      <c r="B33" s="73" t="s">
        <v>373</v>
      </c>
      <c r="C33" s="73" t="s">
        <v>374</v>
      </c>
      <c r="D33" s="73" t="s">
        <v>542</v>
      </c>
      <c r="E33" s="73" t="s">
        <v>543</v>
      </c>
      <c r="F33" s="73" t="s">
        <v>544</v>
      </c>
      <c r="G33" s="73" t="s">
        <v>545</v>
      </c>
      <c r="H33" s="73" t="s">
        <v>546</v>
      </c>
      <c r="I33" s="73" t="s">
        <v>547</v>
      </c>
    </row>
    <row r="34" spans="1:9" x14ac:dyDescent="0.2">
      <c r="A34" s="78">
        <v>-120703</v>
      </c>
      <c r="B34" s="78">
        <v>104272</v>
      </c>
      <c r="C34" s="78">
        <v>0</v>
      </c>
      <c r="D34" s="78">
        <v>-86862</v>
      </c>
      <c r="E34" s="78">
        <v>63936</v>
      </c>
      <c r="F34" s="78">
        <v>1084</v>
      </c>
      <c r="G34" s="78">
        <v>62852</v>
      </c>
      <c r="H34" s="170">
        <v>184639</v>
      </c>
      <c r="I34" s="170">
        <v>0</v>
      </c>
    </row>
    <row r="35" spans="1:9" x14ac:dyDescent="0.2">
      <c r="A35" s="78">
        <v>2210</v>
      </c>
      <c r="B35" s="78">
        <v>10000</v>
      </c>
      <c r="C35" s="78">
        <v>0</v>
      </c>
      <c r="D35" s="78">
        <v>-5809</v>
      </c>
      <c r="E35" s="78">
        <v>2597</v>
      </c>
      <c r="F35" s="78">
        <v>0</v>
      </c>
      <c r="G35" s="78">
        <v>2597</v>
      </c>
      <c r="H35" s="170">
        <v>387</v>
      </c>
      <c r="I35" s="170">
        <v>3500</v>
      </c>
    </row>
    <row r="36" spans="1:9" x14ac:dyDescent="0.2">
      <c r="A36" s="78">
        <v>-41437</v>
      </c>
      <c r="B36" s="78">
        <v>5100</v>
      </c>
      <c r="C36" s="78">
        <v>47467</v>
      </c>
      <c r="D36" s="78">
        <v>-94004</v>
      </c>
      <c r="E36" s="78">
        <v>285878</v>
      </c>
      <c r="F36" s="78">
        <v>6357</v>
      </c>
      <c r="G36" s="78">
        <v>279521</v>
      </c>
      <c r="H36" s="170">
        <f>250929+76386</f>
        <v>327315</v>
      </c>
      <c r="I36" s="170">
        <v>308696</v>
      </c>
    </row>
    <row r="37" spans="1:9" x14ac:dyDescent="0.2">
      <c r="A37" s="116"/>
    </row>
  </sheetData>
  <mergeCells count="1">
    <mergeCell ref="B3:C3"/>
  </mergeCells>
  <phoneticPr fontId="28" type="noConversion"/>
  <pageMargins left="0.75" right="0.75" top="1" bottom="1" header="0.5" footer="0.5"/>
  <pageSetup paperSize="9"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tabSelected="1" zoomScaleNormal="100" zoomScaleSheetLayoutView="90" workbookViewId="0">
      <selection activeCell="B24" sqref="B24:B26"/>
    </sheetView>
  </sheetViews>
  <sheetFormatPr defaultColWidth="9.21875" defaultRowHeight="10.199999999999999" x14ac:dyDescent="0.2"/>
  <cols>
    <col min="1" max="1" width="27" style="44" customWidth="1"/>
    <col min="2" max="5" width="15.77734375" style="44" customWidth="1"/>
    <col min="6" max="16384" width="9.21875" style="44"/>
  </cols>
  <sheetData>
    <row r="1" spans="1:5" s="179" customFormat="1" ht="19.5" customHeight="1" x14ac:dyDescent="0.2">
      <c r="A1" s="632"/>
      <c r="B1" s="633"/>
      <c r="C1" s="633"/>
    </row>
    <row r="2" spans="1:5" s="179" customFormat="1" x14ac:dyDescent="0.2">
      <c r="A2" s="414" t="s">
        <v>777</v>
      </c>
      <c r="B2" s="44"/>
      <c r="C2" s="44"/>
    </row>
    <row r="3" spans="1:5" s="179" customFormat="1" x14ac:dyDescent="0.2">
      <c r="A3" s="180"/>
      <c r="B3" s="44"/>
      <c r="C3" s="44"/>
    </row>
    <row r="4" spans="1:5" x14ac:dyDescent="0.2">
      <c r="A4" s="448" t="s">
        <v>353</v>
      </c>
      <c r="B4" s="634" t="str">
        <f>'Dane podstawowe'!B7</f>
        <v>01.01.2018-31.12.2018</v>
      </c>
      <c r="C4" s="634"/>
      <c r="D4" s="634" t="str">
        <f>'Dane podstawowe'!B12</f>
        <v>01.01.2017-31.12.2017</v>
      </c>
      <c r="E4" s="634"/>
    </row>
    <row r="5" spans="1:5" x14ac:dyDescent="0.2">
      <c r="A5" s="448"/>
      <c r="B5" s="448" t="s">
        <v>14</v>
      </c>
      <c r="C5" s="448" t="s">
        <v>15</v>
      </c>
      <c r="D5" s="448" t="s">
        <v>14</v>
      </c>
      <c r="E5" s="448" t="s">
        <v>15</v>
      </c>
    </row>
    <row r="6" spans="1:5" ht="14.1" customHeight="1" x14ac:dyDescent="0.2">
      <c r="A6" s="634" t="s">
        <v>626</v>
      </c>
      <c r="B6" s="634"/>
      <c r="C6" s="634"/>
      <c r="D6" s="634"/>
      <c r="E6" s="634"/>
    </row>
    <row r="7" spans="1:5" ht="30.6" x14ac:dyDescent="0.2">
      <c r="A7" s="69" t="s">
        <v>130</v>
      </c>
      <c r="B7" s="415">
        <f>RZiS!D3</f>
        <v>48334027</v>
      </c>
      <c r="C7" s="415">
        <f>B7/$C$31</f>
        <v>11327668.096275985</v>
      </c>
      <c r="D7" s="415">
        <f>RZiS!E3</f>
        <v>45965990</v>
      </c>
      <c r="E7" s="415">
        <f>D7/$E$31</f>
        <v>10829031.498103518</v>
      </c>
    </row>
    <row r="8" spans="1:5" x14ac:dyDescent="0.2">
      <c r="A8" s="69" t="s">
        <v>131</v>
      </c>
      <c r="B8" s="415">
        <f>RZiS!D7</f>
        <v>46145934</v>
      </c>
      <c r="C8" s="415">
        <f>B8/$C$31</f>
        <v>10814861.843492934</v>
      </c>
      <c r="D8" s="415">
        <f>RZiS!E7</f>
        <v>41477882</v>
      </c>
      <c r="E8" s="415">
        <f>D8/$E$31</f>
        <v>9771687.5161966681</v>
      </c>
    </row>
    <row r="9" spans="1:5" ht="20.399999999999999" x14ac:dyDescent="0.2">
      <c r="A9" s="69" t="s">
        <v>381</v>
      </c>
      <c r="B9" s="415">
        <f>RZiS!D21</f>
        <v>1639363</v>
      </c>
      <c r="C9" s="415">
        <f>B9/$C$31</f>
        <v>384204.69193091005</v>
      </c>
      <c r="D9" s="415">
        <f>RZiS!E21</f>
        <v>4319778</v>
      </c>
      <c r="E9" s="415">
        <f>D9/$E$31</f>
        <v>1017687.4690790869</v>
      </c>
    </row>
    <row r="10" spans="1:5" x14ac:dyDescent="0.2">
      <c r="A10" s="69" t="s">
        <v>132</v>
      </c>
      <c r="B10" s="415">
        <f>RZiS!D26</f>
        <v>1479472</v>
      </c>
      <c r="C10" s="415">
        <f>B10/$C$31</f>
        <v>346732.28807799576</v>
      </c>
      <c r="D10" s="415">
        <f>RZiS!E26</f>
        <v>4197017</v>
      </c>
      <c r="E10" s="415">
        <f>D10/$E$31</f>
        <v>988766.46170518536</v>
      </c>
    </row>
    <row r="11" spans="1:5" x14ac:dyDescent="0.2">
      <c r="A11" s="69" t="s">
        <v>133</v>
      </c>
      <c r="B11" s="415">
        <f>RZiS!D31</f>
        <v>516996</v>
      </c>
      <c r="C11" s="415">
        <f>B11/$C$31</f>
        <v>121164.31132672433</v>
      </c>
      <c r="D11" s="415">
        <f>RZiS!E31</f>
        <v>2831650</v>
      </c>
      <c r="E11" s="415">
        <f>D11/$E$31</f>
        <v>667102.50429947942</v>
      </c>
    </row>
    <row r="12" spans="1:5" x14ac:dyDescent="0.2">
      <c r="A12" s="69" t="s">
        <v>134</v>
      </c>
      <c r="B12" s="415">
        <v>2291551</v>
      </c>
      <c r="C12" s="415">
        <f>B12</f>
        <v>2291551</v>
      </c>
      <c r="D12" s="415">
        <v>2291551</v>
      </c>
      <c r="E12" s="415">
        <f>D12</f>
        <v>2291551</v>
      </c>
    </row>
    <row r="13" spans="1:5" ht="20.399999999999999" x14ac:dyDescent="0.2">
      <c r="A13" s="69" t="s">
        <v>136</v>
      </c>
      <c r="B13" s="449">
        <f>B11/B12</f>
        <v>0.22560964167936912</v>
      </c>
      <c r="C13" s="449">
        <f>B13/$C$31</f>
        <v>5.2874368201591117E-2</v>
      </c>
      <c r="D13" s="449">
        <f>D11/D12</f>
        <v>1.235691459627126</v>
      </c>
      <c r="E13" s="449">
        <f>D13/$E$31</f>
        <v>0.29111396791931726</v>
      </c>
    </row>
    <row r="14" spans="1:5" x14ac:dyDescent="0.2">
      <c r="A14" s="69"/>
      <c r="B14" s="415"/>
      <c r="C14" s="415"/>
      <c r="D14" s="415"/>
      <c r="E14" s="415"/>
    </row>
    <row r="15" spans="1:5" ht="14.1" customHeight="1" x14ac:dyDescent="0.2">
      <c r="A15" s="634" t="s">
        <v>627</v>
      </c>
      <c r="B15" s="634"/>
      <c r="C15" s="634"/>
      <c r="D15" s="634"/>
      <c r="E15" s="634"/>
    </row>
    <row r="16" spans="1:5" x14ac:dyDescent="0.2">
      <c r="A16" s="69" t="s">
        <v>544</v>
      </c>
      <c r="B16" s="415">
        <f>Aktywa!D3</f>
        <v>24599907.66</v>
      </c>
      <c r="C16" s="415">
        <f t="shared" ref="C16:C20" si="0">B16/$C$30</f>
        <v>5720908.7581395349</v>
      </c>
      <c r="D16" s="415">
        <f>Aktywa!E3</f>
        <v>16745152</v>
      </c>
      <c r="E16" s="415">
        <f t="shared" ref="E16:E21" si="1">D16/$E$30</f>
        <v>4014757.4863938242</v>
      </c>
    </row>
    <row r="17" spans="1:5" x14ac:dyDescent="0.2">
      <c r="A17" s="69" t="s">
        <v>545</v>
      </c>
      <c r="B17" s="415">
        <f>Aktywa!D15</f>
        <v>15532332</v>
      </c>
      <c r="C17" s="415">
        <f t="shared" si="0"/>
        <v>3612170.2325581396</v>
      </c>
      <c r="D17" s="415">
        <f>Aktywa!E15</f>
        <v>17848015</v>
      </c>
      <c r="E17" s="415">
        <f t="shared" si="1"/>
        <v>4279175.9572274573</v>
      </c>
    </row>
    <row r="18" spans="1:5" x14ac:dyDescent="0.2">
      <c r="A18" s="69" t="s">
        <v>66</v>
      </c>
      <c r="B18" s="415">
        <f>Pasywa!D3</f>
        <v>25821513</v>
      </c>
      <c r="C18" s="415">
        <f t="shared" si="0"/>
        <v>6005003.0232558139</v>
      </c>
      <c r="D18" s="415">
        <f>Pasywa!E3</f>
        <v>25146742</v>
      </c>
      <c r="E18" s="415">
        <f t="shared" si="1"/>
        <v>6029092.5219976511</v>
      </c>
    </row>
    <row r="19" spans="1:5" x14ac:dyDescent="0.2">
      <c r="A19" s="69" t="s">
        <v>351</v>
      </c>
      <c r="B19" s="415">
        <f>Pasywa!D13</f>
        <v>1413453</v>
      </c>
      <c r="C19" s="415">
        <f t="shared" si="0"/>
        <v>328710</v>
      </c>
      <c r="D19" s="415">
        <f>Pasywa!E13</f>
        <v>811000</v>
      </c>
      <c r="E19" s="415">
        <f t="shared" si="1"/>
        <v>194442.44647438204</v>
      </c>
    </row>
    <row r="20" spans="1:5" x14ac:dyDescent="0.2">
      <c r="A20" s="69" t="s">
        <v>350</v>
      </c>
      <c r="B20" s="415">
        <f>Pasywa!D21</f>
        <v>12897274</v>
      </c>
      <c r="C20" s="415">
        <f t="shared" si="0"/>
        <v>2999366.0465116282</v>
      </c>
      <c r="D20" s="415">
        <f>Pasywa!E21</f>
        <v>8635425</v>
      </c>
      <c r="E20" s="415">
        <f t="shared" si="1"/>
        <v>2070398.4751492485</v>
      </c>
    </row>
    <row r="21" spans="1:5" x14ac:dyDescent="0.2">
      <c r="A21" s="69" t="s">
        <v>135</v>
      </c>
      <c r="B21" s="449">
        <f>B18/'wybrane dane finansowe'!B12</f>
        <v>11.268138042749213</v>
      </c>
      <c r="C21" s="449">
        <f>B21/$C$30</f>
        <v>2.6204972192440033</v>
      </c>
      <c r="D21" s="449">
        <f>D18/'wybrane dane finansowe'!D12</f>
        <v>10.973677653257553</v>
      </c>
      <c r="E21" s="449">
        <f t="shared" si="1"/>
        <v>2.6310095310982171</v>
      </c>
    </row>
    <row r="22" spans="1:5" x14ac:dyDescent="0.2">
      <c r="A22" s="327"/>
      <c r="B22" s="327"/>
      <c r="C22" s="327"/>
      <c r="D22" s="327"/>
      <c r="E22" s="327"/>
    </row>
    <row r="23" spans="1:5" ht="14.1" customHeight="1" x14ac:dyDescent="0.2">
      <c r="A23" s="636" t="s">
        <v>628</v>
      </c>
      <c r="B23" s="636"/>
      <c r="C23" s="636"/>
      <c r="D23" s="636"/>
      <c r="E23" s="636"/>
    </row>
    <row r="24" spans="1:5" ht="20.399999999999999" x14ac:dyDescent="0.2">
      <c r="A24" s="69" t="s">
        <v>392</v>
      </c>
      <c r="B24" s="415">
        <f>RPP!C22</f>
        <v>5686287</v>
      </c>
      <c r="C24" s="415">
        <f>B24/$C$31</f>
        <v>1332650.6362933279</v>
      </c>
      <c r="D24" s="415">
        <f>RPP!D22</f>
        <v>4642819</v>
      </c>
      <c r="E24" s="415">
        <f>D24/$E$31</f>
        <v>1093792.02299338</v>
      </c>
    </row>
    <row r="25" spans="1:5" ht="20.399999999999999" x14ac:dyDescent="0.2">
      <c r="A25" s="69" t="s">
        <v>395</v>
      </c>
      <c r="B25" s="415">
        <f>RPP!C35</f>
        <v>-9515691</v>
      </c>
      <c r="C25" s="415">
        <f>B25/$C$31</f>
        <v>-2230118.1185403923</v>
      </c>
      <c r="D25" s="415">
        <f>RPP!D35</f>
        <v>-3820097</v>
      </c>
      <c r="E25" s="415">
        <f>D25/$E$31</f>
        <v>-899968.66680801939</v>
      </c>
    </row>
    <row r="26" spans="1:5" ht="20.399999999999999" x14ac:dyDescent="0.2">
      <c r="A26" s="69" t="s">
        <v>401</v>
      </c>
      <c r="B26" s="415">
        <f>RPP!C52</f>
        <v>1292676</v>
      </c>
      <c r="C26" s="415">
        <f>B26/$C$31</f>
        <v>302954.369682908</v>
      </c>
      <c r="D26" s="415">
        <f>RPP!D52</f>
        <v>-243230</v>
      </c>
      <c r="E26" s="415">
        <f>D26/$E$31</f>
        <v>-57302.047258934675</v>
      </c>
    </row>
    <row r="29" spans="1:5" x14ac:dyDescent="0.2">
      <c r="A29" s="52" t="s">
        <v>629</v>
      </c>
      <c r="B29" s="52"/>
      <c r="C29" s="52">
        <v>2018</v>
      </c>
      <c r="D29" s="52"/>
      <c r="E29" s="52">
        <v>2017</v>
      </c>
    </row>
    <row r="30" spans="1:5" x14ac:dyDescent="0.2">
      <c r="A30" s="416" t="s">
        <v>630</v>
      </c>
      <c r="C30" s="417">
        <v>4.3</v>
      </c>
      <c r="E30" s="417">
        <v>4.1708999999999996</v>
      </c>
    </row>
    <row r="31" spans="1:5" x14ac:dyDescent="0.2">
      <c r="A31" s="416" t="s">
        <v>631</v>
      </c>
      <c r="C31" s="417">
        <v>4.2668999999999997</v>
      </c>
      <c r="E31" s="417">
        <v>4.2446999999999999</v>
      </c>
    </row>
    <row r="34" spans="1:5" ht="37.5" customHeight="1" x14ac:dyDescent="0.2">
      <c r="A34" s="635" t="s">
        <v>632</v>
      </c>
      <c r="B34" s="635"/>
      <c r="C34" s="635"/>
      <c r="D34" s="635"/>
      <c r="E34" s="635"/>
    </row>
  </sheetData>
  <mergeCells count="7">
    <mergeCell ref="A1:C1"/>
    <mergeCell ref="B4:C4"/>
    <mergeCell ref="D4:E4"/>
    <mergeCell ref="A34:E34"/>
    <mergeCell ref="A6:E6"/>
    <mergeCell ref="A15:E15"/>
    <mergeCell ref="A23:E23"/>
  </mergeCells>
  <pageMargins left="0.7" right="0.7" top="0.75" bottom="0.75" header="0.3" footer="0.3"/>
  <pageSetup paperSize="9" scale="9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showGridLines="0" view="pageBreakPreview" topLeftCell="A64" zoomScaleNormal="100" zoomScaleSheetLayoutView="100" workbookViewId="0">
      <selection activeCell="A105" sqref="A105"/>
    </sheetView>
  </sheetViews>
  <sheetFormatPr defaultColWidth="9.21875" defaultRowHeight="10.199999999999999" x14ac:dyDescent="0.25"/>
  <cols>
    <col min="1" max="1" width="50.5546875" style="136" customWidth="1"/>
    <col min="2" max="4" width="14.5546875" style="136" customWidth="1"/>
    <col min="5" max="5" width="11.44140625" style="136" customWidth="1"/>
    <col min="6" max="6" width="18.5546875" style="136" customWidth="1"/>
    <col min="7" max="7" width="14.5546875" style="136" customWidth="1"/>
    <col min="8" max="16384" width="9.21875" style="136"/>
  </cols>
  <sheetData>
    <row r="1" spans="1:6" x14ac:dyDescent="0.25">
      <c r="A1" s="180"/>
    </row>
    <row r="2" spans="1:6" ht="13.2" x14ac:dyDescent="0.25">
      <c r="A2" s="412" t="s">
        <v>969</v>
      </c>
      <c r="B2" s="412"/>
      <c r="C2" s="412"/>
      <c r="D2" s="412"/>
      <c r="E2" s="412"/>
      <c r="F2" s="412"/>
    </row>
    <row r="3" spans="1:6" x14ac:dyDescent="0.25">
      <c r="A3" s="134"/>
    </row>
    <row r="4" spans="1:6" s="368" customFormat="1" x14ac:dyDescent="0.2">
      <c r="A4" s="115" t="s">
        <v>189</v>
      </c>
      <c r="B4" s="461">
        <v>43465</v>
      </c>
      <c r="C4" s="461">
        <v>43100</v>
      </c>
    </row>
    <row r="5" spans="1:6" s="44" customFormat="1" x14ac:dyDescent="0.2">
      <c r="A5" s="65" t="s">
        <v>548</v>
      </c>
      <c r="B5" s="209">
        <v>0</v>
      </c>
      <c r="C5" s="209">
        <v>204521</v>
      </c>
    </row>
    <row r="6" spans="1:6" s="44" customFormat="1" x14ac:dyDescent="0.2">
      <c r="A6" s="65" t="s">
        <v>549</v>
      </c>
      <c r="B6" s="327">
        <v>0</v>
      </c>
      <c r="C6" s="327">
        <v>0</v>
      </c>
    </row>
    <row r="7" spans="1:6" s="44" customFormat="1" ht="12.75" customHeight="1" x14ac:dyDescent="0.2">
      <c r="A7" s="65" t="s">
        <v>488</v>
      </c>
      <c r="B7" s="327">
        <v>0</v>
      </c>
      <c r="C7" s="327">
        <v>0</v>
      </c>
    </row>
    <row r="8" spans="1:6" s="44" customFormat="1" x14ac:dyDescent="0.2">
      <c r="A8" s="65" t="s">
        <v>550</v>
      </c>
      <c r="B8" s="327">
        <v>0</v>
      </c>
      <c r="C8" s="327">
        <v>0</v>
      </c>
    </row>
    <row r="9" spans="1:6" s="44" customFormat="1" x14ac:dyDescent="0.2">
      <c r="A9" s="65" t="s">
        <v>551</v>
      </c>
      <c r="B9" s="327">
        <v>0</v>
      </c>
      <c r="C9" s="327">
        <v>0</v>
      </c>
    </row>
    <row r="10" spans="1:6" s="44" customFormat="1" x14ac:dyDescent="0.2">
      <c r="A10" s="65" t="s">
        <v>249</v>
      </c>
      <c r="B10" s="327">
        <v>0</v>
      </c>
      <c r="C10" s="327">
        <v>0</v>
      </c>
    </row>
    <row r="11" spans="1:6" s="44" customFormat="1" x14ac:dyDescent="0.2">
      <c r="A11" s="65" t="s">
        <v>250</v>
      </c>
      <c r="B11" s="327">
        <v>0</v>
      </c>
      <c r="C11" s="327">
        <v>0</v>
      </c>
    </row>
    <row r="12" spans="1:6" s="44" customFormat="1" x14ac:dyDescent="0.2">
      <c r="A12" s="65" t="s">
        <v>552</v>
      </c>
      <c r="B12" s="327">
        <v>0</v>
      </c>
      <c r="C12" s="327">
        <v>0</v>
      </c>
    </row>
    <row r="13" spans="1:6" s="44" customFormat="1" x14ac:dyDescent="0.2">
      <c r="A13" s="121" t="s">
        <v>28</v>
      </c>
      <c r="B13" s="92">
        <f>B5+B7+B8+B9+B10+B11+B12</f>
        <v>0</v>
      </c>
      <c r="C13" s="92">
        <f>C5+C7+C8+C9+C10+C11+C12</f>
        <v>204521</v>
      </c>
    </row>
    <row r="14" spans="1:6" s="44" customFormat="1" x14ac:dyDescent="0.2">
      <c r="B14" s="320">
        <f>B13-Aktywa!D11</f>
        <v>0</v>
      </c>
      <c r="C14" s="320">
        <f>C13-Aktywa!E11</f>
        <v>0</v>
      </c>
    </row>
    <row r="15" spans="1:6" s="44" customFormat="1" x14ac:dyDescent="0.2"/>
    <row r="16" spans="1:6" x14ac:dyDescent="0.25">
      <c r="A16" s="73" t="s">
        <v>192</v>
      </c>
      <c r="B16" s="461">
        <f>B4</f>
        <v>43465</v>
      </c>
      <c r="C16" s="461">
        <f>C4</f>
        <v>43100</v>
      </c>
    </row>
    <row r="17" spans="1:9" x14ac:dyDescent="0.2">
      <c r="A17" s="65" t="s">
        <v>548</v>
      </c>
      <c r="B17" s="209">
        <v>262592</v>
      </c>
      <c r="C17" s="209">
        <v>681352</v>
      </c>
    </row>
    <row r="18" spans="1:9" x14ac:dyDescent="0.2">
      <c r="A18" s="65" t="s">
        <v>549</v>
      </c>
      <c r="B18" s="209">
        <v>0</v>
      </c>
      <c r="C18" s="209">
        <v>608530</v>
      </c>
    </row>
    <row r="19" spans="1:9" x14ac:dyDescent="0.2">
      <c r="A19" s="65" t="s">
        <v>488</v>
      </c>
      <c r="B19" s="209">
        <v>0</v>
      </c>
      <c r="C19" s="209">
        <v>0</v>
      </c>
    </row>
    <row r="20" spans="1:9" x14ac:dyDescent="0.2">
      <c r="A20" s="65" t="s">
        <v>550</v>
      </c>
      <c r="B20" s="209">
        <v>0</v>
      </c>
      <c r="C20" s="209">
        <v>0</v>
      </c>
    </row>
    <row r="21" spans="1:9" x14ac:dyDescent="0.2">
      <c r="A21" s="65" t="s">
        <v>551</v>
      </c>
      <c r="B21" s="209">
        <v>0</v>
      </c>
      <c r="C21" s="209">
        <v>0</v>
      </c>
    </row>
    <row r="22" spans="1:9" x14ac:dyDescent="0.2">
      <c r="A22" s="65" t="s">
        <v>251</v>
      </c>
      <c r="B22" s="209">
        <v>0</v>
      </c>
      <c r="C22" s="209">
        <v>0</v>
      </c>
    </row>
    <row r="23" spans="1:9" x14ac:dyDescent="0.2">
      <c r="A23" s="65" t="s">
        <v>552</v>
      </c>
      <c r="B23" s="209">
        <v>0</v>
      </c>
      <c r="C23" s="209">
        <v>0</v>
      </c>
    </row>
    <row r="24" spans="1:9" x14ac:dyDescent="0.2">
      <c r="A24" s="121" t="s">
        <v>28</v>
      </c>
      <c r="B24" s="92">
        <f>B17+B19+B20+B21+B22+B23</f>
        <v>262592</v>
      </c>
      <c r="C24" s="92">
        <f>C17+C19+C20+C21+C22+C23</f>
        <v>681352</v>
      </c>
    </row>
    <row r="25" spans="1:9" x14ac:dyDescent="0.25">
      <c r="A25" s="135"/>
      <c r="B25" s="325">
        <f>Aktywa!D22-B24</f>
        <v>0</v>
      </c>
      <c r="C25" s="325">
        <f>Aktywa!E22-C24</f>
        <v>0</v>
      </c>
    </row>
    <row r="26" spans="1:9" s="44" customFormat="1" x14ac:dyDescent="0.2">
      <c r="A26" s="663"/>
      <c r="B26" s="663"/>
      <c r="C26" s="663"/>
      <c r="D26" s="441"/>
      <c r="E26" s="441"/>
      <c r="F26" s="441"/>
      <c r="G26" s="95"/>
      <c r="H26" s="95"/>
      <c r="I26" s="95"/>
    </row>
    <row r="27" spans="1:9" x14ac:dyDescent="0.25">
      <c r="A27" s="135"/>
    </row>
    <row r="28" spans="1:9" x14ac:dyDescent="0.25">
      <c r="A28" s="135" t="s">
        <v>563</v>
      </c>
    </row>
    <row r="29" spans="1:9" x14ac:dyDescent="0.25">
      <c r="A29" s="135"/>
    </row>
    <row r="30" spans="1:9" x14ac:dyDescent="0.25">
      <c r="A30" s="137"/>
      <c r="B30" s="461">
        <f>B4</f>
        <v>43465</v>
      </c>
      <c r="C30" s="461">
        <f>C4</f>
        <v>43100</v>
      </c>
    </row>
    <row r="31" spans="1:9" x14ac:dyDescent="0.25">
      <c r="A31" s="36" t="s">
        <v>565</v>
      </c>
      <c r="B31" s="138">
        <v>463587</v>
      </c>
      <c r="C31" s="138">
        <v>960523</v>
      </c>
    </row>
    <row r="32" spans="1:9" x14ac:dyDescent="0.25">
      <c r="A32" s="105" t="s">
        <v>566</v>
      </c>
      <c r="B32" s="138">
        <v>0</v>
      </c>
      <c r="C32" s="138">
        <v>0</v>
      </c>
    </row>
    <row r="33" spans="1:7" x14ac:dyDescent="0.25">
      <c r="A33" s="36" t="s">
        <v>567</v>
      </c>
      <c r="B33" s="138">
        <v>200995</v>
      </c>
      <c r="C33" s="138">
        <v>74650</v>
      </c>
    </row>
    <row r="34" spans="1:7" x14ac:dyDescent="0.25">
      <c r="A34" s="61" t="s">
        <v>568</v>
      </c>
      <c r="B34" s="79">
        <f>B31-B33</f>
        <v>262592</v>
      </c>
      <c r="C34" s="79">
        <f>C31-C33</f>
        <v>885873</v>
      </c>
    </row>
    <row r="35" spans="1:7" x14ac:dyDescent="0.25">
      <c r="A35" s="72" t="s">
        <v>561</v>
      </c>
      <c r="B35" s="84">
        <v>0</v>
      </c>
      <c r="C35" s="84">
        <v>204521</v>
      </c>
    </row>
    <row r="36" spans="1:7" x14ac:dyDescent="0.25">
      <c r="A36" s="72" t="s">
        <v>562</v>
      </c>
      <c r="B36" s="84">
        <v>262592</v>
      </c>
      <c r="C36" s="84">
        <v>681352</v>
      </c>
    </row>
    <row r="37" spans="1:7" x14ac:dyDescent="0.25">
      <c r="A37" s="135"/>
      <c r="B37" s="325">
        <f>B34-(B13+B24)</f>
        <v>0</v>
      </c>
      <c r="C37" s="325">
        <f>C34-(C13+C24)</f>
        <v>0</v>
      </c>
    </row>
    <row r="38" spans="1:7" x14ac:dyDescent="0.25">
      <c r="A38" s="141" t="s">
        <v>338</v>
      </c>
    </row>
    <row r="39" spans="1:7" x14ac:dyDescent="0.25">
      <c r="A39" s="135"/>
    </row>
    <row r="40" spans="1:7" x14ac:dyDescent="0.25">
      <c r="A40" s="644" t="s">
        <v>569</v>
      </c>
      <c r="B40" s="644" t="s">
        <v>570</v>
      </c>
      <c r="C40" s="644" t="s">
        <v>349</v>
      </c>
      <c r="D40" s="665" t="s">
        <v>571</v>
      </c>
      <c r="E40" s="666"/>
      <c r="F40" s="644" t="s">
        <v>520</v>
      </c>
      <c r="G40" s="644" t="s">
        <v>96</v>
      </c>
    </row>
    <row r="41" spans="1:7" x14ac:dyDescent="0.25">
      <c r="A41" s="644"/>
      <c r="B41" s="644"/>
      <c r="C41" s="644"/>
      <c r="D41" s="73" t="s">
        <v>572</v>
      </c>
      <c r="E41" s="73" t="s">
        <v>573</v>
      </c>
      <c r="F41" s="644"/>
      <c r="G41" s="644"/>
    </row>
    <row r="42" spans="1:7" x14ac:dyDescent="0.25">
      <c r="A42" s="139" t="s">
        <v>917</v>
      </c>
      <c r="B42" s="77">
        <v>463587</v>
      </c>
      <c r="C42" s="168">
        <v>262592</v>
      </c>
      <c r="D42" s="357" t="s">
        <v>918</v>
      </c>
      <c r="E42" s="356"/>
      <c r="F42" s="354" t="s">
        <v>919</v>
      </c>
      <c r="G42" s="478" t="s">
        <v>698</v>
      </c>
    </row>
    <row r="43" spans="1:7" x14ac:dyDescent="0.25">
      <c r="A43" s="139" t="s">
        <v>793</v>
      </c>
      <c r="B43" s="77">
        <v>960523</v>
      </c>
      <c r="C43" s="168">
        <v>885873</v>
      </c>
      <c r="D43" s="357" t="s">
        <v>827</v>
      </c>
      <c r="E43" s="356"/>
      <c r="F43" s="354" t="s">
        <v>828</v>
      </c>
      <c r="G43" s="478" t="s">
        <v>698</v>
      </c>
    </row>
    <row r="45" spans="1:7" x14ac:dyDescent="0.25">
      <c r="A45" s="135"/>
      <c r="F45" s="323"/>
      <c r="G45" s="326"/>
    </row>
    <row r="46" spans="1:7" x14ac:dyDescent="0.25">
      <c r="A46" s="11" t="s">
        <v>447</v>
      </c>
    </row>
    <row r="47" spans="1:7" ht="51" x14ac:dyDescent="0.25">
      <c r="A47" s="73" t="str">
        <f>'Dane podstawowe'!B7</f>
        <v>01.01.2018-31.12.2018</v>
      </c>
      <c r="B47" s="481" t="s">
        <v>363</v>
      </c>
      <c r="C47" s="73" t="s">
        <v>145</v>
      </c>
      <c r="D47" s="73" t="s">
        <v>359</v>
      </c>
      <c r="E47" s="73" t="s">
        <v>143</v>
      </c>
      <c r="F47" s="73" t="s">
        <v>142</v>
      </c>
      <c r="G47" s="73" t="s">
        <v>144</v>
      </c>
    </row>
    <row r="48" spans="1:7" x14ac:dyDescent="0.2">
      <c r="A48" s="577" t="s">
        <v>920</v>
      </c>
      <c r="B48" s="153">
        <f>B92</f>
        <v>0</v>
      </c>
      <c r="C48" s="153">
        <f t="shared" ref="C48:G48" si="0">C92</f>
        <v>0</v>
      </c>
      <c r="D48" s="153">
        <f t="shared" si="0"/>
        <v>0</v>
      </c>
      <c r="E48" s="153">
        <f t="shared" si="0"/>
        <v>885873</v>
      </c>
      <c r="F48" s="153">
        <f t="shared" si="0"/>
        <v>0</v>
      </c>
      <c r="G48" s="153">
        <f t="shared" si="0"/>
        <v>46457</v>
      </c>
    </row>
    <row r="49" spans="1:7" x14ac:dyDescent="0.2">
      <c r="A49" s="578" t="s">
        <v>885</v>
      </c>
      <c r="B49" s="170">
        <v>0</v>
      </c>
      <c r="C49" s="170">
        <v>0</v>
      </c>
      <c r="D49" s="170">
        <v>0</v>
      </c>
      <c r="E49" s="170">
        <v>-202734</v>
      </c>
      <c r="F49" s="170">
        <v>0</v>
      </c>
      <c r="G49" s="170">
        <v>0</v>
      </c>
    </row>
    <row r="50" spans="1:7" x14ac:dyDescent="0.2">
      <c r="A50" s="586" t="s">
        <v>923</v>
      </c>
      <c r="B50" s="153">
        <f t="shared" ref="B50:D50" si="1">B48+B49</f>
        <v>0</v>
      </c>
      <c r="C50" s="153">
        <f t="shared" si="1"/>
        <v>0</v>
      </c>
      <c r="D50" s="153">
        <f t="shared" si="1"/>
        <v>0</v>
      </c>
      <c r="E50" s="153">
        <f>E48+E49</f>
        <v>683139</v>
      </c>
      <c r="F50" s="153">
        <f t="shared" ref="F50:G50" si="2">F48+F49</f>
        <v>0</v>
      </c>
      <c r="G50" s="153">
        <f t="shared" si="2"/>
        <v>46457</v>
      </c>
    </row>
    <row r="51" spans="1:7" s="232" customFormat="1" x14ac:dyDescent="0.2">
      <c r="A51" s="330" t="s">
        <v>154</v>
      </c>
      <c r="B51" s="242">
        <f t="shared" ref="B51:G51" si="3">SUM(B52:B59)</f>
        <v>0</v>
      </c>
      <c r="C51" s="242">
        <f t="shared" si="3"/>
        <v>0</v>
      </c>
      <c r="D51" s="242">
        <f t="shared" si="3"/>
        <v>0</v>
      </c>
      <c r="E51" s="242">
        <f t="shared" si="3"/>
        <v>71647</v>
      </c>
      <c r="F51" s="242">
        <f t="shared" si="3"/>
        <v>0</v>
      </c>
      <c r="G51" s="242">
        <f t="shared" si="3"/>
        <v>281326</v>
      </c>
    </row>
    <row r="52" spans="1:7" x14ac:dyDescent="0.2">
      <c r="A52" s="48" t="s">
        <v>448</v>
      </c>
      <c r="B52" s="442">
        <v>0</v>
      </c>
      <c r="C52" s="156">
        <v>0</v>
      </c>
      <c r="D52" s="156">
        <v>0</v>
      </c>
      <c r="E52" s="156">
        <f>41891+6000</f>
        <v>47891</v>
      </c>
      <c r="F52" s="130">
        <v>0</v>
      </c>
      <c r="G52" s="130">
        <v>0</v>
      </c>
    </row>
    <row r="53" spans="1:7" hidden="1" x14ac:dyDescent="0.2">
      <c r="A53" s="48" t="s">
        <v>448</v>
      </c>
      <c r="B53" s="331">
        <v>0</v>
      </c>
      <c r="C53" s="156">
        <v>0</v>
      </c>
      <c r="D53" s="156">
        <v>0</v>
      </c>
      <c r="E53" s="156"/>
      <c r="F53" s="130">
        <v>0</v>
      </c>
      <c r="G53" s="130">
        <v>0</v>
      </c>
    </row>
    <row r="54" spans="1:7" x14ac:dyDescent="0.2">
      <c r="A54" s="48" t="s">
        <v>811</v>
      </c>
      <c r="B54" s="156">
        <v>0</v>
      </c>
      <c r="C54" s="156">
        <v>0</v>
      </c>
      <c r="D54" s="156">
        <v>0</v>
      </c>
      <c r="E54" s="156">
        <v>0</v>
      </c>
      <c r="F54" s="130">
        <v>0</v>
      </c>
      <c r="G54" s="130">
        <v>0</v>
      </c>
    </row>
    <row r="55" spans="1:7" x14ac:dyDescent="0.2">
      <c r="A55" s="46" t="s">
        <v>921</v>
      </c>
      <c r="B55" s="442">
        <v>0</v>
      </c>
      <c r="C55" s="156">
        <v>0</v>
      </c>
      <c r="D55" s="156">
        <v>0</v>
      </c>
      <c r="E55" s="156">
        <v>0</v>
      </c>
      <c r="F55" s="130">
        <v>0</v>
      </c>
      <c r="G55" s="130">
        <v>281326</v>
      </c>
    </row>
    <row r="56" spans="1:7" hidden="1" x14ac:dyDescent="0.2">
      <c r="A56" s="46" t="s">
        <v>813</v>
      </c>
      <c r="B56" s="442"/>
      <c r="C56" s="156"/>
      <c r="D56" s="156"/>
      <c r="E56" s="156"/>
      <c r="F56" s="130"/>
      <c r="G56" s="130"/>
    </row>
    <row r="57" spans="1:7" x14ac:dyDescent="0.2">
      <c r="A57" s="46" t="s">
        <v>581</v>
      </c>
      <c r="B57" s="331">
        <v>0</v>
      </c>
      <c r="C57" s="78">
        <v>0</v>
      </c>
      <c r="D57" s="78">
        <v>0</v>
      </c>
      <c r="E57" s="78">
        <v>0</v>
      </c>
      <c r="F57" s="170">
        <v>0</v>
      </c>
      <c r="G57" s="170">
        <v>0</v>
      </c>
    </row>
    <row r="58" spans="1:7" x14ac:dyDescent="0.2">
      <c r="A58" s="327" t="s">
        <v>731</v>
      </c>
      <c r="B58" s="331">
        <v>0</v>
      </c>
      <c r="C58" s="78">
        <v>0</v>
      </c>
      <c r="D58" s="78">
        <v>0</v>
      </c>
      <c r="E58" s="78">
        <v>23756</v>
      </c>
      <c r="F58" s="170">
        <v>0</v>
      </c>
      <c r="G58" s="153">
        <v>0</v>
      </c>
    </row>
    <row r="59" spans="1:7" x14ac:dyDescent="0.2">
      <c r="A59" s="327" t="s">
        <v>814</v>
      </c>
      <c r="B59" s="331">
        <v>0</v>
      </c>
      <c r="C59" s="78">
        <v>0</v>
      </c>
      <c r="D59" s="78">
        <v>0</v>
      </c>
      <c r="E59" s="156">
        <v>0</v>
      </c>
      <c r="F59" s="170">
        <v>0</v>
      </c>
      <c r="G59" s="170">
        <v>0</v>
      </c>
    </row>
    <row r="60" spans="1:7" s="232" customFormat="1" x14ac:dyDescent="0.2">
      <c r="A60" s="332" t="s">
        <v>449</v>
      </c>
      <c r="B60" s="243">
        <f t="shared" ref="B60:G60" si="4">SUM(B61:B67)</f>
        <v>0</v>
      </c>
      <c r="C60" s="243">
        <f t="shared" si="4"/>
        <v>0</v>
      </c>
      <c r="D60" s="243">
        <f t="shared" si="4"/>
        <v>0</v>
      </c>
      <c r="E60" s="243">
        <f t="shared" si="4"/>
        <v>492194</v>
      </c>
      <c r="F60" s="243">
        <f t="shared" si="4"/>
        <v>0</v>
      </c>
      <c r="G60" s="243">
        <f t="shared" si="4"/>
        <v>91605</v>
      </c>
    </row>
    <row r="61" spans="1:7" x14ac:dyDescent="0.2">
      <c r="A61" s="48" t="s">
        <v>815</v>
      </c>
      <c r="B61" s="331">
        <v>0</v>
      </c>
      <c r="C61" s="78">
        <v>0</v>
      </c>
      <c r="D61" s="78">
        <v>0</v>
      </c>
      <c r="E61" s="78">
        <v>0</v>
      </c>
      <c r="F61" s="170">
        <v>0</v>
      </c>
      <c r="G61" s="170">
        <v>0</v>
      </c>
    </row>
    <row r="62" spans="1:7" x14ac:dyDescent="0.2">
      <c r="A62" s="48" t="s">
        <v>816</v>
      </c>
      <c r="B62" s="331">
        <v>0</v>
      </c>
      <c r="C62" s="78">
        <v>0</v>
      </c>
      <c r="D62" s="78">
        <v>0</v>
      </c>
      <c r="E62" s="78">
        <f>252877+112972</f>
        <v>365849</v>
      </c>
      <c r="F62" s="170">
        <v>0</v>
      </c>
      <c r="G62" s="170">
        <v>0</v>
      </c>
    </row>
    <row r="63" spans="1:7" x14ac:dyDescent="0.2">
      <c r="A63" s="48" t="s">
        <v>817</v>
      </c>
      <c r="B63" s="331">
        <v>0</v>
      </c>
      <c r="C63" s="78">
        <v>0</v>
      </c>
      <c r="D63" s="78">
        <v>0</v>
      </c>
      <c r="E63" s="78">
        <v>0</v>
      </c>
      <c r="F63" s="170">
        <v>0</v>
      </c>
      <c r="G63" s="170">
        <f>81033+10572</f>
        <v>91605</v>
      </c>
    </row>
    <row r="64" spans="1:7" x14ac:dyDescent="0.2">
      <c r="A64" s="113" t="s">
        <v>409</v>
      </c>
      <c r="B64" s="331">
        <v>0</v>
      </c>
      <c r="C64" s="78">
        <v>0</v>
      </c>
      <c r="D64" s="78">
        <v>0</v>
      </c>
      <c r="E64" s="78">
        <v>126345</v>
      </c>
      <c r="F64" s="170">
        <v>0</v>
      </c>
      <c r="G64" s="170">
        <v>0</v>
      </c>
    </row>
    <row r="65" spans="1:7" x14ac:dyDescent="0.2">
      <c r="A65" s="46" t="s">
        <v>580</v>
      </c>
      <c r="B65" s="331">
        <v>0</v>
      </c>
      <c r="C65" s="78">
        <v>0</v>
      </c>
      <c r="D65" s="78">
        <v>0</v>
      </c>
      <c r="E65" s="78">
        <v>0</v>
      </c>
      <c r="F65" s="170">
        <v>0</v>
      </c>
      <c r="G65" s="170">
        <v>0</v>
      </c>
    </row>
    <row r="66" spans="1:7" x14ac:dyDescent="0.2">
      <c r="A66" s="46" t="s">
        <v>581</v>
      </c>
      <c r="B66" s="331">
        <v>0</v>
      </c>
      <c r="C66" s="78">
        <v>0</v>
      </c>
      <c r="D66" s="78">
        <v>0</v>
      </c>
      <c r="E66" s="78">
        <v>0</v>
      </c>
      <c r="F66" s="170">
        <v>0</v>
      </c>
      <c r="G66" s="170">
        <v>0</v>
      </c>
    </row>
    <row r="67" spans="1:7" x14ac:dyDescent="0.2">
      <c r="A67" s="327" t="s">
        <v>818</v>
      </c>
      <c r="B67" s="331">
        <v>0</v>
      </c>
      <c r="C67" s="78">
        <v>0</v>
      </c>
      <c r="D67" s="78">
        <v>0</v>
      </c>
      <c r="E67" s="78">
        <v>0</v>
      </c>
      <c r="F67" s="170">
        <v>0</v>
      </c>
      <c r="G67" s="170">
        <v>0</v>
      </c>
    </row>
    <row r="68" spans="1:7" x14ac:dyDescent="0.2">
      <c r="A68" s="50" t="s">
        <v>163</v>
      </c>
      <c r="B68" s="153">
        <f t="shared" ref="B68:D68" si="5">SUM(B50:B51,-B60)</f>
        <v>0</v>
      </c>
      <c r="C68" s="153">
        <f t="shared" si="5"/>
        <v>0</v>
      </c>
      <c r="D68" s="153">
        <f t="shared" si="5"/>
        <v>0</v>
      </c>
      <c r="E68" s="153">
        <f>SUM(E50:E51,-E60)</f>
        <v>262592</v>
      </c>
      <c r="F68" s="153">
        <f t="shared" ref="F68:G68" si="6">SUM(F50:F51,-F60)</f>
        <v>0</v>
      </c>
      <c r="G68" s="153">
        <f t="shared" si="6"/>
        <v>236178</v>
      </c>
    </row>
    <row r="69" spans="1:7" x14ac:dyDescent="0.2">
      <c r="A69" s="75"/>
      <c r="B69" s="359"/>
      <c r="C69" s="359"/>
      <c r="D69" s="359"/>
      <c r="E69" s="359"/>
      <c r="F69" s="359"/>
      <c r="G69" s="359"/>
    </row>
    <row r="70" spans="1:7" x14ac:dyDescent="0.25">
      <c r="A70" s="664" t="s">
        <v>922</v>
      </c>
      <c r="B70" s="664"/>
      <c r="C70" s="664"/>
    </row>
    <row r="71" spans="1:7" x14ac:dyDescent="0.25">
      <c r="A71" s="664"/>
      <c r="B71" s="664"/>
      <c r="C71" s="664"/>
    </row>
    <row r="72" spans="1:7" ht="51" x14ac:dyDescent="0.25">
      <c r="A72" s="73" t="str">
        <f>'Dane podstawowe'!B12</f>
        <v>01.01.2017-31.12.2017</v>
      </c>
      <c r="B72" s="118" t="s">
        <v>363</v>
      </c>
      <c r="C72" s="73" t="s">
        <v>145</v>
      </c>
      <c r="D72" s="73" t="s">
        <v>359</v>
      </c>
      <c r="E72" s="73" t="s">
        <v>143</v>
      </c>
      <c r="F72" s="73" t="s">
        <v>142</v>
      </c>
      <c r="G72" s="73" t="s">
        <v>144</v>
      </c>
    </row>
    <row r="73" spans="1:7" x14ac:dyDescent="0.2">
      <c r="A73" s="577" t="s">
        <v>920</v>
      </c>
      <c r="B73" s="153">
        <v>0</v>
      </c>
      <c r="C73" s="153">
        <v>0</v>
      </c>
      <c r="D73" s="153">
        <v>0</v>
      </c>
      <c r="E73" s="153">
        <v>44422</v>
      </c>
      <c r="F73" s="153">
        <v>0</v>
      </c>
      <c r="G73" s="153">
        <v>92941</v>
      </c>
    </row>
    <row r="74" spans="1:7" s="232" customFormat="1" x14ac:dyDescent="0.2">
      <c r="A74" s="330" t="s">
        <v>154</v>
      </c>
      <c r="B74" s="242">
        <f>SUM(B75:B83)</f>
        <v>0</v>
      </c>
      <c r="C74" s="242">
        <f t="shared" ref="C74:E74" si="7">SUM(C75:C83)</f>
        <v>0</v>
      </c>
      <c r="D74" s="242">
        <v>0</v>
      </c>
      <c r="E74" s="242">
        <f t="shared" si="7"/>
        <v>920624</v>
      </c>
      <c r="F74" s="242">
        <f t="shared" ref="F74:G74" si="8">SUM(F75:F82)</f>
        <v>0</v>
      </c>
      <c r="G74" s="242">
        <f t="shared" si="8"/>
        <v>0</v>
      </c>
    </row>
    <row r="75" spans="1:7" x14ac:dyDescent="0.2">
      <c r="A75" s="48" t="s">
        <v>699</v>
      </c>
      <c r="B75" s="156">
        <v>0</v>
      </c>
      <c r="C75" s="156">
        <v>0</v>
      </c>
      <c r="D75" s="156">
        <v>0</v>
      </c>
      <c r="E75" s="156">
        <v>0</v>
      </c>
      <c r="F75" s="156">
        <v>0</v>
      </c>
      <c r="G75" s="156">
        <v>0</v>
      </c>
    </row>
    <row r="76" spans="1:7" x14ac:dyDescent="0.2">
      <c r="A76" s="48" t="s">
        <v>448</v>
      </c>
      <c r="B76" s="156">
        <v>0</v>
      </c>
      <c r="C76" s="156">
        <v>0</v>
      </c>
      <c r="D76" s="156">
        <v>0</v>
      </c>
      <c r="E76" s="156">
        <v>902016</v>
      </c>
      <c r="F76" s="156">
        <v>0</v>
      </c>
      <c r="G76" s="156">
        <v>0</v>
      </c>
    </row>
    <row r="77" spans="1:7" hidden="1" x14ac:dyDescent="0.2">
      <c r="A77" s="48" t="s">
        <v>811</v>
      </c>
      <c r="B77" s="156">
        <v>0</v>
      </c>
      <c r="C77" s="156">
        <v>0</v>
      </c>
      <c r="D77" s="156">
        <v>0</v>
      </c>
      <c r="E77" s="156"/>
      <c r="F77" s="156">
        <v>0</v>
      </c>
      <c r="G77" s="156">
        <v>0</v>
      </c>
    </row>
    <row r="78" spans="1:7" ht="20.399999999999999" hidden="1" x14ac:dyDescent="0.2">
      <c r="A78" s="46" t="s">
        <v>812</v>
      </c>
      <c r="B78" s="156">
        <v>0</v>
      </c>
      <c r="C78" s="156">
        <v>0</v>
      </c>
      <c r="D78" s="156">
        <v>0</v>
      </c>
      <c r="E78" s="156"/>
      <c r="F78" s="156">
        <v>0</v>
      </c>
      <c r="G78" s="156">
        <v>0</v>
      </c>
    </row>
    <row r="79" spans="1:7" x14ac:dyDescent="0.2">
      <c r="A79" s="46" t="s">
        <v>813</v>
      </c>
      <c r="B79" s="156">
        <v>0</v>
      </c>
      <c r="C79" s="156">
        <v>0</v>
      </c>
      <c r="D79" s="156">
        <v>0</v>
      </c>
      <c r="E79" s="156">
        <v>0</v>
      </c>
      <c r="F79" s="156">
        <v>0</v>
      </c>
      <c r="G79" s="156">
        <v>0</v>
      </c>
    </row>
    <row r="80" spans="1:7" x14ac:dyDescent="0.2">
      <c r="A80" s="46" t="s">
        <v>581</v>
      </c>
      <c r="B80" s="156">
        <v>0</v>
      </c>
      <c r="C80" s="156">
        <v>0</v>
      </c>
      <c r="D80" s="156">
        <v>0</v>
      </c>
      <c r="E80" s="156">
        <v>0</v>
      </c>
      <c r="F80" s="156">
        <v>0</v>
      </c>
      <c r="G80" s="156">
        <v>0</v>
      </c>
    </row>
    <row r="81" spans="1:7" x14ac:dyDescent="0.2">
      <c r="A81" s="327" t="s">
        <v>731</v>
      </c>
      <c r="B81" s="156">
        <v>0</v>
      </c>
      <c r="C81" s="156">
        <v>0</v>
      </c>
      <c r="D81" s="156">
        <v>0</v>
      </c>
      <c r="E81" s="156">
        <v>17890</v>
      </c>
      <c r="F81" s="156">
        <v>0</v>
      </c>
      <c r="G81" s="156">
        <v>0</v>
      </c>
    </row>
    <row r="82" spans="1:7" x14ac:dyDescent="0.2">
      <c r="A82" s="327" t="s">
        <v>814</v>
      </c>
      <c r="B82" s="156">
        <v>0</v>
      </c>
      <c r="C82" s="156">
        <v>0</v>
      </c>
      <c r="D82" s="156">
        <v>0</v>
      </c>
      <c r="E82" s="156">
        <v>718</v>
      </c>
      <c r="F82" s="156">
        <v>0</v>
      </c>
      <c r="G82" s="156">
        <v>0</v>
      </c>
    </row>
    <row r="83" spans="1:7" hidden="1" x14ac:dyDescent="0.2">
      <c r="A83" s="477" t="s">
        <v>700</v>
      </c>
      <c r="B83" s="331">
        <v>0</v>
      </c>
      <c r="C83" s="45"/>
      <c r="D83" s="45"/>
      <c r="E83" s="45"/>
      <c r="F83" s="153"/>
      <c r="G83" s="153"/>
    </row>
    <row r="84" spans="1:7" s="232" customFormat="1" x14ac:dyDescent="0.2">
      <c r="A84" s="332" t="s">
        <v>449</v>
      </c>
      <c r="B84" s="243">
        <f t="shared" ref="B84:G84" si="9">SUM(B85:B91)</f>
        <v>0</v>
      </c>
      <c r="C84" s="243">
        <f t="shared" si="9"/>
        <v>0</v>
      </c>
      <c r="D84" s="243">
        <f t="shared" si="9"/>
        <v>0</v>
      </c>
      <c r="E84" s="243">
        <f t="shared" si="9"/>
        <v>79173</v>
      </c>
      <c r="F84" s="243">
        <f t="shared" si="9"/>
        <v>0</v>
      </c>
      <c r="G84" s="243">
        <f t="shared" si="9"/>
        <v>46484</v>
      </c>
    </row>
    <row r="85" spans="1:7" x14ac:dyDescent="0.2">
      <c r="A85" s="48" t="s">
        <v>815</v>
      </c>
      <c r="B85" s="156">
        <v>0</v>
      </c>
      <c r="C85" s="156">
        <v>0</v>
      </c>
      <c r="D85" s="156">
        <v>0</v>
      </c>
      <c r="E85" s="78">
        <v>0</v>
      </c>
      <c r="F85" s="156">
        <v>0</v>
      </c>
      <c r="G85" s="156">
        <v>0</v>
      </c>
    </row>
    <row r="86" spans="1:7" x14ac:dyDescent="0.2">
      <c r="A86" s="48" t="s">
        <v>816</v>
      </c>
      <c r="B86" s="156">
        <v>0</v>
      </c>
      <c r="C86" s="156">
        <v>0</v>
      </c>
      <c r="D86" s="156">
        <v>0</v>
      </c>
      <c r="E86" s="78">
        <v>0</v>
      </c>
      <c r="F86" s="156">
        <v>0</v>
      </c>
      <c r="G86" s="156">
        <v>0</v>
      </c>
    </row>
    <row r="87" spans="1:7" x14ac:dyDescent="0.2">
      <c r="A87" s="48" t="s">
        <v>817</v>
      </c>
      <c r="B87" s="156">
        <v>0</v>
      </c>
      <c r="C87" s="156">
        <v>0</v>
      </c>
      <c r="D87" s="156">
        <v>0</v>
      </c>
      <c r="E87" s="78">
        <v>0</v>
      </c>
      <c r="F87" s="156">
        <v>0</v>
      </c>
      <c r="G87" s="170">
        <v>46484</v>
      </c>
    </row>
    <row r="88" spans="1:7" x14ac:dyDescent="0.2">
      <c r="A88" s="113" t="s">
        <v>409</v>
      </c>
      <c r="B88" s="156">
        <v>0</v>
      </c>
      <c r="C88" s="156">
        <v>0</v>
      </c>
      <c r="D88" s="156">
        <v>0</v>
      </c>
      <c r="E88" s="78">
        <v>74650</v>
      </c>
      <c r="F88" s="156">
        <v>0</v>
      </c>
      <c r="G88" s="156">
        <v>0</v>
      </c>
    </row>
    <row r="89" spans="1:7" x14ac:dyDescent="0.2">
      <c r="A89" s="46" t="s">
        <v>580</v>
      </c>
      <c r="B89" s="156">
        <v>0</v>
      </c>
      <c r="C89" s="156">
        <v>0</v>
      </c>
      <c r="D89" s="156">
        <v>0</v>
      </c>
      <c r="E89" s="78">
        <v>0</v>
      </c>
      <c r="F89" s="156">
        <v>0</v>
      </c>
      <c r="G89" s="156">
        <v>0</v>
      </c>
    </row>
    <row r="90" spans="1:7" x14ac:dyDescent="0.2">
      <c r="A90" s="46" t="s">
        <v>581</v>
      </c>
      <c r="B90" s="156">
        <v>0</v>
      </c>
      <c r="C90" s="156">
        <v>0</v>
      </c>
      <c r="D90" s="156">
        <v>0</v>
      </c>
      <c r="E90" s="78">
        <v>4523</v>
      </c>
      <c r="F90" s="156">
        <v>0</v>
      </c>
      <c r="G90" s="156">
        <v>0</v>
      </c>
    </row>
    <row r="91" spans="1:7" x14ac:dyDescent="0.2">
      <c r="A91" s="327" t="s">
        <v>818</v>
      </c>
      <c r="B91" s="156">
        <v>0</v>
      </c>
      <c r="C91" s="156">
        <v>0</v>
      </c>
      <c r="D91" s="156">
        <v>0</v>
      </c>
      <c r="E91" s="78">
        <v>0</v>
      </c>
      <c r="F91" s="156">
        <v>0</v>
      </c>
      <c r="G91" s="156">
        <v>0</v>
      </c>
    </row>
    <row r="92" spans="1:7" x14ac:dyDescent="0.2">
      <c r="A92" s="50" t="s">
        <v>163</v>
      </c>
      <c r="B92" s="329">
        <f t="shared" ref="B92:G92" si="10">SUM(B73:B74,-B84)</f>
        <v>0</v>
      </c>
      <c r="C92" s="153">
        <f t="shared" si="10"/>
        <v>0</v>
      </c>
      <c r="D92" s="153">
        <f t="shared" si="10"/>
        <v>0</v>
      </c>
      <c r="E92" s="153">
        <f t="shared" si="10"/>
        <v>885873</v>
      </c>
      <c r="F92" s="153">
        <f t="shared" si="10"/>
        <v>0</v>
      </c>
      <c r="G92" s="153">
        <f t="shared" si="10"/>
        <v>46457</v>
      </c>
    </row>
    <row r="93" spans="1:7" x14ac:dyDescent="0.25">
      <c r="B93" s="326"/>
      <c r="C93" s="326"/>
      <c r="D93" s="326"/>
      <c r="E93" s="326"/>
      <c r="F93" s="326"/>
      <c r="G93" s="326"/>
    </row>
    <row r="94" spans="1:7" x14ac:dyDescent="0.25">
      <c r="A94" s="135"/>
      <c r="F94" s="323"/>
      <c r="G94" s="326"/>
    </row>
  </sheetData>
  <mergeCells count="9">
    <mergeCell ref="A71:C71"/>
    <mergeCell ref="A70:C70"/>
    <mergeCell ref="D40:E40"/>
    <mergeCell ref="A26:C26"/>
    <mergeCell ref="C40:C41"/>
    <mergeCell ref="G40:G41"/>
    <mergeCell ref="A40:A41"/>
    <mergeCell ref="B40:B41"/>
    <mergeCell ref="F40:F41"/>
  </mergeCells>
  <phoneticPr fontId="3" type="noConversion"/>
  <pageMargins left="0.75" right="0.75" top="1" bottom="1" header="0.5" footer="0.5"/>
  <pageSetup paperSize="9" scale="63" orientation="portrait" r:id="rId1"/>
  <headerFooter alignWithMargins="0"/>
  <rowBreaks count="1" manualBreakCount="1">
    <brk id="27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/>
  <dimension ref="A1:N125"/>
  <sheetViews>
    <sheetView showGridLines="0" view="pageBreakPreview" topLeftCell="A107" zoomScaleNormal="100" zoomScaleSheetLayoutView="100" workbookViewId="0">
      <selection activeCell="A12" sqref="A12:K12"/>
    </sheetView>
  </sheetViews>
  <sheetFormatPr defaultColWidth="9.21875" defaultRowHeight="13.2" x14ac:dyDescent="0.25"/>
  <cols>
    <col min="1" max="1" width="38.21875" customWidth="1"/>
    <col min="2" max="2" width="12.21875" customWidth="1"/>
    <col min="3" max="3" width="13.44140625" customWidth="1"/>
    <col min="4" max="7" width="8.77734375" customWidth="1"/>
    <col min="8" max="8" width="9.21875" customWidth="1"/>
    <col min="9" max="12" width="12.21875" customWidth="1"/>
  </cols>
  <sheetData>
    <row r="1" spans="1:14" x14ac:dyDescent="0.25">
      <c r="A1" s="38"/>
    </row>
    <row r="2" spans="1:14" s="44" customFormat="1" x14ac:dyDescent="0.25">
      <c r="A2" s="412" t="s">
        <v>971</v>
      </c>
      <c r="B2" s="412"/>
      <c r="C2" s="412"/>
      <c r="D2" s="412"/>
      <c r="E2" s="412"/>
      <c r="F2" s="412"/>
      <c r="G2" s="412"/>
      <c r="H2" s="412"/>
      <c r="I2" s="412"/>
      <c r="J2" s="412"/>
    </row>
    <row r="3" spans="1:14" s="44" customFormat="1" ht="10.199999999999999" x14ac:dyDescent="0.2">
      <c r="B3" s="662"/>
      <c r="C3" s="662"/>
      <c r="D3" s="662"/>
      <c r="E3" s="662"/>
      <c r="F3" s="662"/>
      <c r="G3" s="662"/>
      <c r="H3" s="662"/>
    </row>
    <row r="4" spans="1:14" s="44" customFormat="1" ht="10.199999999999999" x14ac:dyDescent="0.2">
      <c r="A4" s="115" t="s">
        <v>353</v>
      </c>
      <c r="B4" s="461">
        <f>Aktywa!D2</f>
        <v>43465</v>
      </c>
      <c r="C4" s="461">
        <f>Aktywa!E2</f>
        <v>43100</v>
      </c>
      <c r="D4" s="486"/>
      <c r="E4" s="486"/>
      <c r="F4" s="486"/>
      <c r="G4" s="486"/>
    </row>
    <row r="5" spans="1:14" s="44" customFormat="1" ht="10.199999999999999" x14ac:dyDescent="0.2">
      <c r="A5" s="56" t="s">
        <v>556</v>
      </c>
      <c r="B5" s="92">
        <f>SUM(B6:B7)</f>
        <v>11404054</v>
      </c>
      <c r="C5" s="92">
        <f>SUM(C6:C7)</f>
        <v>10627288</v>
      </c>
      <c r="D5" s="530"/>
      <c r="E5" s="530"/>
      <c r="F5" s="530"/>
      <c r="G5" s="530"/>
    </row>
    <row r="6" spans="1:14" s="44" customFormat="1" ht="10.199999999999999" x14ac:dyDescent="0.2">
      <c r="A6" s="126" t="s">
        <v>100</v>
      </c>
      <c r="B6" s="209">
        <v>0</v>
      </c>
      <c r="C6" s="209">
        <v>0</v>
      </c>
      <c r="D6" s="383"/>
      <c r="E6" s="383"/>
      <c r="F6" s="383"/>
      <c r="G6" s="383"/>
    </row>
    <row r="7" spans="1:14" s="44" customFormat="1" ht="10.199999999999999" x14ac:dyDescent="0.2">
      <c r="A7" s="123" t="s">
        <v>101</v>
      </c>
      <c r="B7" s="209">
        <f>1334461+4974088+1741751+50698+733593+448917+2120547-1</f>
        <v>11404054</v>
      </c>
      <c r="C7" s="209">
        <v>10627288</v>
      </c>
      <c r="D7" s="383"/>
      <c r="E7" s="383"/>
      <c r="F7" s="383"/>
      <c r="G7" s="383"/>
    </row>
    <row r="8" spans="1:14" s="44" customFormat="1" ht="10.199999999999999" x14ac:dyDescent="0.2">
      <c r="A8" s="55" t="s">
        <v>203</v>
      </c>
      <c r="B8" s="209">
        <f>415871+335429+221398+94564+62492+174978+1</f>
        <v>1304733</v>
      </c>
      <c r="C8" s="209">
        <v>836396</v>
      </c>
      <c r="D8" s="383"/>
      <c r="E8" s="383"/>
      <c r="F8" s="383"/>
      <c r="G8" s="383"/>
    </row>
    <row r="9" spans="1:14" s="44" customFormat="1" ht="10.199999999999999" x14ac:dyDescent="0.2">
      <c r="A9" s="56" t="s">
        <v>99</v>
      </c>
      <c r="B9" s="92">
        <f>B5+B8</f>
        <v>12708787</v>
      </c>
      <c r="C9" s="92">
        <f>C5+C8</f>
        <v>11463684</v>
      </c>
      <c r="D9" s="530"/>
      <c r="E9" s="530"/>
      <c r="F9" s="530"/>
      <c r="G9" s="530"/>
    </row>
    <row r="10" spans="1:14" s="44" customFormat="1" ht="10.199999999999999" x14ac:dyDescent="0.2">
      <c r="A10" s="12"/>
      <c r="B10" s="320">
        <f>B5-Aktywa!D17</f>
        <v>0</v>
      </c>
      <c r="C10" s="320">
        <f>C5-Aktywa!E17</f>
        <v>0</v>
      </c>
      <c r="D10" s="320"/>
      <c r="E10" s="320"/>
      <c r="F10" s="320"/>
      <c r="G10" s="320"/>
    </row>
    <row r="11" spans="1:14" s="44" customFormat="1" ht="10.199999999999999" x14ac:dyDescent="0.2">
      <c r="B11" s="383"/>
      <c r="C11" s="383"/>
      <c r="D11" s="383"/>
      <c r="E11" s="383"/>
      <c r="F11" s="383"/>
      <c r="G11" s="383"/>
    </row>
    <row r="12" spans="1:14" s="44" customFormat="1" ht="10.199999999999999" x14ac:dyDescent="0.2">
      <c r="A12" s="667" t="s">
        <v>209</v>
      </c>
      <c r="B12" s="667"/>
      <c r="C12" s="667"/>
      <c r="D12" s="667"/>
      <c r="E12" s="667"/>
      <c r="F12" s="667"/>
      <c r="G12" s="667"/>
      <c r="H12" s="667"/>
      <c r="I12" s="667"/>
      <c r="J12" s="667"/>
      <c r="K12" s="667"/>
      <c r="L12" s="124"/>
      <c r="M12" s="124"/>
      <c r="N12" s="124"/>
    </row>
    <row r="13" spans="1:14" s="44" customFormat="1" ht="10.199999999999999" x14ac:dyDescent="0.2">
      <c r="B13" s="662"/>
      <c r="C13" s="662"/>
      <c r="D13" s="662"/>
      <c r="E13" s="662"/>
      <c r="F13" s="662"/>
      <c r="G13" s="662"/>
      <c r="H13" s="662"/>
    </row>
    <row r="14" spans="1:14" s="44" customFormat="1" ht="10.199999999999999" x14ac:dyDescent="0.2">
      <c r="A14" s="115" t="s">
        <v>353</v>
      </c>
      <c r="B14" s="461">
        <f>B4</f>
        <v>43465</v>
      </c>
      <c r="C14" s="461">
        <f>C4</f>
        <v>43100</v>
      </c>
      <c r="D14" s="486"/>
      <c r="E14" s="486"/>
      <c r="F14" s="486"/>
      <c r="G14" s="486"/>
    </row>
    <row r="15" spans="1:14" s="136" customFormat="1" ht="10.199999999999999" x14ac:dyDescent="0.2">
      <c r="A15" s="468" t="s">
        <v>254</v>
      </c>
      <c r="B15" s="469"/>
      <c r="C15" s="469"/>
      <c r="D15" s="487"/>
      <c r="E15" s="487"/>
      <c r="F15" s="487"/>
      <c r="G15" s="487"/>
      <c r="H15" s="44"/>
    </row>
    <row r="16" spans="1:14" s="136" customFormat="1" ht="20.399999999999999" x14ac:dyDescent="0.25">
      <c r="A16" s="440" t="s">
        <v>557</v>
      </c>
      <c r="B16" s="127">
        <v>0</v>
      </c>
      <c r="C16" s="127">
        <v>0</v>
      </c>
      <c r="D16" s="428"/>
      <c r="E16" s="428"/>
      <c r="F16" s="428"/>
      <c r="G16" s="428"/>
    </row>
    <row r="17" spans="1:8" s="232" customFormat="1" ht="10.199999999999999" x14ac:dyDescent="0.25">
      <c r="A17" s="230" t="s">
        <v>110</v>
      </c>
      <c r="B17" s="231">
        <f>SUM(B18:B22)</f>
        <v>0</v>
      </c>
      <c r="C17" s="231">
        <f>SUM(C18:C22)</f>
        <v>0</v>
      </c>
      <c r="D17" s="488"/>
      <c r="E17" s="488"/>
      <c r="F17" s="488"/>
      <c r="G17" s="488"/>
    </row>
    <row r="18" spans="1:8" s="136" customFormat="1" ht="20.399999999999999" x14ac:dyDescent="0.25">
      <c r="A18" s="229" t="s">
        <v>207</v>
      </c>
      <c r="B18" s="228">
        <v>0</v>
      </c>
      <c r="C18" s="228">
        <v>0</v>
      </c>
      <c r="D18" s="326"/>
      <c r="E18" s="326"/>
      <c r="F18" s="326"/>
      <c r="G18" s="326"/>
    </row>
    <row r="19" spans="1:8" s="136" customFormat="1" ht="10.199999999999999" x14ac:dyDescent="0.25">
      <c r="A19" s="229" t="s">
        <v>208</v>
      </c>
      <c r="B19" s="228">
        <v>0</v>
      </c>
      <c r="C19" s="228">
        <v>0</v>
      </c>
      <c r="D19" s="326"/>
      <c r="E19" s="326"/>
      <c r="F19" s="326"/>
      <c r="G19" s="326"/>
    </row>
    <row r="20" spans="1:8" s="136" customFormat="1" ht="10.199999999999999" hidden="1" x14ac:dyDescent="0.25">
      <c r="A20" s="376" t="s">
        <v>294</v>
      </c>
      <c r="B20" s="228"/>
      <c r="C20" s="228"/>
      <c r="D20" s="326"/>
      <c r="E20" s="326"/>
      <c r="F20" s="326"/>
      <c r="G20" s="326"/>
    </row>
    <row r="21" spans="1:8" s="136" customFormat="1" ht="10.199999999999999" hidden="1" x14ac:dyDescent="0.25">
      <c r="A21" s="376" t="s">
        <v>294</v>
      </c>
      <c r="B21" s="228"/>
      <c r="C21" s="228"/>
      <c r="D21" s="326"/>
      <c r="E21" s="326"/>
      <c r="F21" s="326"/>
      <c r="G21" s="326"/>
    </row>
    <row r="22" spans="1:8" s="136" customFormat="1" ht="10.199999999999999" hidden="1" x14ac:dyDescent="0.25">
      <c r="A22" s="376" t="s">
        <v>294</v>
      </c>
      <c r="B22" s="228"/>
      <c r="C22" s="228"/>
      <c r="D22" s="326"/>
      <c r="E22" s="326"/>
      <c r="F22" s="326"/>
      <c r="G22" s="326"/>
    </row>
    <row r="23" spans="1:8" s="232" customFormat="1" ht="10.199999999999999" x14ac:dyDescent="0.25">
      <c r="A23" s="230" t="s">
        <v>103</v>
      </c>
      <c r="B23" s="231">
        <f>SUM(B24:B28)</f>
        <v>0</v>
      </c>
      <c r="C23" s="231">
        <f>SUM(C24:C28)</f>
        <v>0</v>
      </c>
      <c r="D23" s="488"/>
      <c r="E23" s="488"/>
      <c r="F23" s="488"/>
      <c r="G23" s="488"/>
    </row>
    <row r="24" spans="1:8" s="136" customFormat="1" ht="10.199999999999999" x14ac:dyDescent="0.25">
      <c r="A24" s="229" t="s">
        <v>204</v>
      </c>
      <c r="B24" s="228">
        <v>0</v>
      </c>
      <c r="C24" s="228">
        <v>0</v>
      </c>
      <c r="D24" s="326"/>
      <c r="E24" s="326"/>
      <c r="F24" s="326"/>
      <c r="G24" s="326"/>
    </row>
    <row r="25" spans="1:8" s="136" customFormat="1" ht="20.399999999999999" x14ac:dyDescent="0.25">
      <c r="A25" s="229" t="s">
        <v>205</v>
      </c>
      <c r="B25" s="228">
        <v>0</v>
      </c>
      <c r="C25" s="228">
        <v>0</v>
      </c>
      <c r="D25" s="326"/>
      <c r="E25" s="326"/>
      <c r="F25" s="326"/>
      <c r="G25" s="326"/>
    </row>
    <row r="26" spans="1:8" s="136" customFormat="1" ht="10.199999999999999" x14ac:dyDescent="0.25">
      <c r="A26" s="229" t="s">
        <v>206</v>
      </c>
      <c r="B26" s="228">
        <v>0</v>
      </c>
      <c r="C26" s="228">
        <v>0</v>
      </c>
      <c r="D26" s="326"/>
      <c r="E26" s="326"/>
      <c r="F26" s="326"/>
      <c r="G26" s="326"/>
    </row>
    <row r="27" spans="1:8" s="136" customFormat="1" ht="10.199999999999999" hidden="1" x14ac:dyDescent="0.25">
      <c r="A27" s="376" t="s">
        <v>294</v>
      </c>
      <c r="B27" s="377"/>
      <c r="C27" s="377"/>
      <c r="D27" s="326"/>
      <c r="E27" s="326"/>
      <c r="F27" s="326"/>
      <c r="G27" s="326"/>
    </row>
    <row r="28" spans="1:8" s="136" customFormat="1" ht="10.199999999999999" hidden="1" x14ac:dyDescent="0.25">
      <c r="A28" s="376" t="s">
        <v>294</v>
      </c>
      <c r="B28" s="377"/>
      <c r="C28" s="377"/>
      <c r="D28" s="326"/>
      <c r="E28" s="326"/>
      <c r="F28" s="326"/>
      <c r="G28" s="326"/>
    </row>
    <row r="29" spans="1:8" s="136" customFormat="1" ht="30.6" x14ac:dyDescent="0.2">
      <c r="A29" s="440" t="s">
        <v>255</v>
      </c>
      <c r="B29" s="127">
        <f>B16+B17-B23</f>
        <v>0</v>
      </c>
      <c r="C29" s="127">
        <f>C16+C17-C23</f>
        <v>0</v>
      </c>
      <c r="D29" s="428"/>
      <c r="E29" s="428"/>
      <c r="F29" s="428"/>
      <c r="G29" s="428"/>
      <c r="H29" s="44"/>
    </row>
    <row r="30" spans="1:8" s="136" customFormat="1" ht="10.199999999999999" x14ac:dyDescent="0.2">
      <c r="A30" s="466" t="s">
        <v>256</v>
      </c>
      <c r="B30" s="467"/>
      <c r="C30" s="467"/>
      <c r="D30" s="489"/>
      <c r="E30" s="489"/>
      <c r="F30" s="489"/>
      <c r="G30" s="489"/>
      <c r="H30" s="44"/>
    </row>
    <row r="31" spans="1:8" s="136" customFormat="1" ht="20.399999999999999" x14ac:dyDescent="0.2">
      <c r="A31" s="550" t="s">
        <v>557</v>
      </c>
      <c r="B31" s="551">
        <f>C49</f>
        <v>836396</v>
      </c>
      <c r="C31" s="551">
        <v>1596541</v>
      </c>
      <c r="D31" s="490"/>
      <c r="E31" s="490"/>
      <c r="F31" s="490"/>
      <c r="G31" s="490"/>
      <c r="H31" s="44"/>
    </row>
    <row r="32" spans="1:8" s="232" customFormat="1" ht="10.199999999999999" x14ac:dyDescent="0.2">
      <c r="A32" s="552" t="s">
        <v>885</v>
      </c>
      <c r="B32" s="553">
        <f>174978+75982</f>
        <v>250960</v>
      </c>
      <c r="C32" s="553">
        <v>0</v>
      </c>
      <c r="D32" s="491"/>
      <c r="E32" s="491"/>
      <c r="F32" s="491"/>
      <c r="G32" s="491"/>
      <c r="H32" s="89"/>
    </row>
    <row r="33" spans="1:8" s="136" customFormat="1" ht="10.199999999999999" x14ac:dyDescent="0.2">
      <c r="A33" s="552" t="s">
        <v>886</v>
      </c>
      <c r="B33" s="553">
        <f>16290+29150+9684+3087+821</f>
        <v>59032</v>
      </c>
      <c r="C33" s="553">
        <v>0</v>
      </c>
      <c r="D33" s="492"/>
      <c r="E33" s="492"/>
      <c r="F33" s="492"/>
      <c r="G33" s="492"/>
      <c r="H33" s="44"/>
    </row>
    <row r="34" spans="1:8" s="136" customFormat="1" ht="20.399999999999999" x14ac:dyDescent="0.2">
      <c r="A34" s="550" t="s">
        <v>887</v>
      </c>
      <c r="B34" s="551">
        <f>B31+B33+B32</f>
        <v>1146388</v>
      </c>
      <c r="C34" s="551">
        <f>C31+C33</f>
        <v>1596541</v>
      </c>
      <c r="D34" s="492"/>
      <c r="E34" s="492"/>
      <c r="F34" s="492"/>
      <c r="G34" s="492"/>
      <c r="H34" s="44"/>
    </row>
    <row r="35" spans="1:8" s="136" customFormat="1" ht="10.199999999999999" x14ac:dyDescent="0.2">
      <c r="A35" s="554" t="s">
        <v>110</v>
      </c>
      <c r="B35" s="555">
        <f>SUM(B36:B39)</f>
        <v>461954</v>
      </c>
      <c r="C35" s="555">
        <f>SUM(C37:C41)</f>
        <v>320879</v>
      </c>
      <c r="D35" s="492"/>
      <c r="E35" s="492"/>
      <c r="F35" s="492"/>
      <c r="G35" s="492"/>
      <c r="H35" s="44"/>
    </row>
    <row r="36" spans="1:8" s="136" customFormat="1" ht="10.199999999999999" x14ac:dyDescent="0.2">
      <c r="A36" s="556" t="s">
        <v>888</v>
      </c>
      <c r="B36" s="553">
        <f>3273+6836+8</f>
        <v>10117</v>
      </c>
      <c r="C36" s="553">
        <v>0</v>
      </c>
      <c r="D36" s="492"/>
      <c r="E36" s="492"/>
      <c r="F36" s="492"/>
      <c r="G36" s="492"/>
      <c r="H36" s="44"/>
    </row>
    <row r="37" spans="1:8" s="136" customFormat="1" ht="20.399999999999999" x14ac:dyDescent="0.2">
      <c r="A37" s="556" t="s">
        <v>207</v>
      </c>
      <c r="B37" s="553">
        <f>121275+181114+87763+18663-3087-8+40959</f>
        <v>446679</v>
      </c>
      <c r="C37" s="553">
        <v>320879</v>
      </c>
      <c r="D37" s="492"/>
      <c r="E37" s="492"/>
      <c r="F37" s="492"/>
      <c r="G37" s="492"/>
      <c r="H37" s="44"/>
    </row>
    <row r="38" spans="1:8" s="136" customFormat="1" ht="10.199999999999999" x14ac:dyDescent="0.2">
      <c r="A38" s="556" t="s">
        <v>208</v>
      </c>
      <c r="B38" s="553">
        <v>0</v>
      </c>
      <c r="C38" s="553">
        <v>0</v>
      </c>
      <c r="D38" s="492"/>
      <c r="E38" s="492"/>
      <c r="F38" s="492"/>
      <c r="G38" s="492"/>
      <c r="H38" s="44"/>
    </row>
    <row r="39" spans="1:8" s="136" customFormat="1" ht="10.199999999999999" x14ac:dyDescent="0.2">
      <c r="A39" s="556" t="s">
        <v>889</v>
      </c>
      <c r="B39" s="553">
        <f>3215+1943</f>
        <v>5158</v>
      </c>
      <c r="C39" s="553">
        <v>0</v>
      </c>
      <c r="D39" s="492"/>
      <c r="E39" s="492"/>
      <c r="F39" s="492"/>
      <c r="G39" s="492"/>
      <c r="H39" s="44"/>
    </row>
    <row r="40" spans="1:8" s="136" customFormat="1" ht="10.199999999999999" hidden="1" x14ac:dyDescent="0.2">
      <c r="A40" s="556" t="s">
        <v>294</v>
      </c>
      <c r="B40" s="553">
        <v>0</v>
      </c>
      <c r="C40" s="553">
        <v>0</v>
      </c>
      <c r="D40" s="492"/>
      <c r="E40" s="492"/>
      <c r="F40" s="492"/>
      <c r="G40" s="492"/>
      <c r="H40" s="44"/>
    </row>
    <row r="41" spans="1:8" s="136" customFormat="1" ht="10.199999999999999" hidden="1" x14ac:dyDescent="0.2">
      <c r="A41" s="556" t="s">
        <v>294</v>
      </c>
      <c r="B41" s="553">
        <v>0</v>
      </c>
      <c r="C41" s="553">
        <v>0</v>
      </c>
      <c r="D41" s="492"/>
      <c r="E41" s="492"/>
      <c r="F41" s="492"/>
      <c r="G41" s="492"/>
      <c r="H41" s="44"/>
    </row>
    <row r="42" spans="1:8" s="136" customFormat="1" ht="10.199999999999999" x14ac:dyDescent="0.2">
      <c r="A42" s="554" t="s">
        <v>103</v>
      </c>
      <c r="B42" s="555">
        <f>SUM(B43:B48)</f>
        <v>303609</v>
      </c>
      <c r="C42" s="555">
        <f>SUM(C43:C48)</f>
        <v>1081024</v>
      </c>
      <c r="D42" s="492"/>
      <c r="E42" s="492"/>
      <c r="F42" s="492"/>
      <c r="G42" s="492"/>
      <c r="H42" s="44"/>
    </row>
    <row r="43" spans="1:8" s="136" customFormat="1" ht="10.199999999999999" x14ac:dyDescent="0.2">
      <c r="A43" s="556" t="s">
        <v>204</v>
      </c>
      <c r="B43" s="553">
        <f>28763+3554+6094+48489+13872+52538</f>
        <v>153310</v>
      </c>
      <c r="C43" s="553">
        <v>107222</v>
      </c>
      <c r="D43" s="492"/>
      <c r="E43" s="492"/>
      <c r="F43" s="492"/>
      <c r="G43" s="492"/>
      <c r="H43" s="44"/>
    </row>
    <row r="44" spans="1:8" s="136" customFormat="1" ht="20.399999999999999" x14ac:dyDescent="0.2">
      <c r="A44" s="556" t="s">
        <v>205</v>
      </c>
      <c r="B44" s="553">
        <f>21273+41590+15824+10922+2216</f>
        <v>91825</v>
      </c>
      <c r="C44" s="553">
        <v>964330</v>
      </c>
      <c r="D44" s="492"/>
      <c r="E44" s="492"/>
      <c r="F44" s="492"/>
      <c r="G44" s="492"/>
      <c r="H44" s="44"/>
    </row>
    <row r="45" spans="1:8" s="136" customFormat="1" ht="10.199999999999999" x14ac:dyDescent="0.2">
      <c r="A45" s="556" t="s">
        <v>206</v>
      </c>
      <c r="B45" s="553">
        <v>0</v>
      </c>
      <c r="C45" s="553">
        <v>0</v>
      </c>
      <c r="D45" s="492"/>
      <c r="E45" s="492"/>
      <c r="F45" s="492"/>
      <c r="G45" s="492"/>
      <c r="H45" s="44"/>
    </row>
    <row r="46" spans="1:8" s="136" customFormat="1" ht="10.199999999999999" x14ac:dyDescent="0.2">
      <c r="A46" s="556" t="s">
        <v>890</v>
      </c>
      <c r="B46" s="557">
        <v>20174</v>
      </c>
      <c r="C46" s="553">
        <v>9472</v>
      </c>
      <c r="D46" s="492"/>
      <c r="E46" s="492"/>
      <c r="F46" s="492"/>
      <c r="G46" s="492"/>
      <c r="H46" s="44"/>
    </row>
    <row r="47" spans="1:8" s="136" customFormat="1" ht="10.199999999999999" x14ac:dyDescent="0.2">
      <c r="A47" s="556" t="s">
        <v>891</v>
      </c>
      <c r="B47" s="557">
        <f>36406</f>
        <v>36406</v>
      </c>
      <c r="C47" s="557">
        <v>0</v>
      </c>
      <c r="D47" s="492"/>
      <c r="E47" s="492"/>
      <c r="F47" s="492"/>
      <c r="G47" s="492"/>
      <c r="H47" s="44"/>
    </row>
    <row r="48" spans="1:8" s="136" customFormat="1" ht="10.199999999999999" x14ac:dyDescent="0.2">
      <c r="A48" s="556" t="s">
        <v>888</v>
      </c>
      <c r="B48" s="557">
        <f>1378+516</f>
        <v>1894</v>
      </c>
      <c r="C48" s="557">
        <v>0</v>
      </c>
      <c r="D48" s="492"/>
      <c r="E48" s="492"/>
      <c r="F48" s="492"/>
      <c r="G48" s="492"/>
      <c r="H48" s="44"/>
    </row>
    <row r="49" spans="1:8" s="136" customFormat="1" ht="30.6" x14ac:dyDescent="0.2">
      <c r="A49" s="558" t="s">
        <v>257</v>
      </c>
      <c r="B49" s="559">
        <f>B34+B35-B42</f>
        <v>1304733</v>
      </c>
      <c r="C49" s="559">
        <f>C31+C35-C42</f>
        <v>836396</v>
      </c>
      <c r="D49" s="492"/>
      <c r="E49" s="492"/>
      <c r="F49" s="492"/>
      <c r="G49" s="492"/>
      <c r="H49" s="44"/>
    </row>
    <row r="50" spans="1:8" s="232" customFormat="1" ht="10.199999999999999" x14ac:dyDescent="0.2">
      <c r="A50" s="560"/>
      <c r="B50" s="561"/>
      <c r="C50" s="561"/>
      <c r="D50" s="491"/>
      <c r="E50" s="491"/>
      <c r="F50" s="491"/>
      <c r="G50" s="491"/>
      <c r="H50" s="89"/>
    </row>
    <row r="51" spans="1:8" s="136" customFormat="1" ht="20.399999999999999" x14ac:dyDescent="0.2">
      <c r="A51" s="562" t="s">
        <v>258</v>
      </c>
      <c r="B51" s="374">
        <f>B49+B29</f>
        <v>1304733</v>
      </c>
      <c r="C51" s="374">
        <f>C49+C29</f>
        <v>836396</v>
      </c>
      <c r="D51" s="492"/>
      <c r="E51" s="492"/>
      <c r="F51" s="492"/>
      <c r="G51" s="492"/>
      <c r="H51" s="44"/>
    </row>
    <row r="52" spans="1:8" s="136" customFormat="1" ht="10.199999999999999" x14ac:dyDescent="0.2">
      <c r="A52" s="563"/>
      <c r="B52" s="428"/>
      <c r="C52" s="428"/>
      <c r="D52" s="492"/>
      <c r="E52" s="492"/>
      <c r="F52" s="492"/>
      <c r="G52" s="492"/>
      <c r="H52" s="44"/>
    </row>
    <row r="53" spans="1:8" s="136" customFormat="1" ht="10.199999999999999" customHeight="1" x14ac:dyDescent="0.2">
      <c r="A53" s="664" t="s">
        <v>892</v>
      </c>
      <c r="B53" s="664"/>
      <c r="C53" s="664"/>
      <c r="D53" s="492"/>
      <c r="E53" s="492"/>
      <c r="F53" s="492"/>
      <c r="G53" s="492"/>
      <c r="H53" s="44"/>
    </row>
    <row r="54" spans="1:8" s="136" customFormat="1" ht="10.199999999999999" hidden="1" customHeight="1" x14ac:dyDescent="0.2">
      <c r="A54" s="564"/>
      <c r="B54" s="565">
        <f>B8-B51</f>
        <v>0</v>
      </c>
      <c r="C54" s="565">
        <f>C8-C51</f>
        <v>0</v>
      </c>
      <c r="D54" s="492"/>
      <c r="E54" s="492"/>
      <c r="F54" s="492"/>
      <c r="G54" s="492"/>
      <c r="H54" s="44"/>
    </row>
    <row r="55" spans="1:8" s="136" customFormat="1" ht="10.199999999999999" hidden="1" customHeight="1" x14ac:dyDescent="0.2">
      <c r="A55" s="566" t="s">
        <v>294</v>
      </c>
      <c r="B55" s="391"/>
      <c r="C55" s="391"/>
      <c r="D55" s="492"/>
      <c r="E55" s="492"/>
      <c r="F55" s="492"/>
      <c r="G55" s="492"/>
      <c r="H55" s="44"/>
    </row>
    <row r="56" spans="1:8" s="136" customFormat="1" ht="10.199999999999999" x14ac:dyDescent="0.2">
      <c r="A56" s="563"/>
      <c r="B56" s="428"/>
      <c r="C56" s="428"/>
      <c r="D56" s="428"/>
      <c r="E56" s="428"/>
      <c r="F56" s="428"/>
      <c r="G56" s="428"/>
      <c r="H56" s="44"/>
    </row>
    <row r="57" spans="1:8" s="44" customFormat="1" ht="10.199999999999999" x14ac:dyDescent="0.2">
      <c r="A57" s="125"/>
      <c r="B57" s="320">
        <f>B51-B8</f>
        <v>0</v>
      </c>
      <c r="C57" s="320">
        <f>C51-C8</f>
        <v>0</v>
      </c>
      <c r="D57" s="320"/>
      <c r="E57" s="320"/>
      <c r="F57" s="320"/>
      <c r="G57" s="320"/>
    </row>
    <row r="58" spans="1:8" s="44" customFormat="1" ht="10.199999999999999" x14ac:dyDescent="0.2">
      <c r="A58" s="125"/>
      <c r="B58" s="383"/>
      <c r="C58" s="383"/>
      <c r="D58" s="383"/>
      <c r="E58" s="383"/>
      <c r="F58" s="383"/>
      <c r="G58" s="383"/>
    </row>
    <row r="59" spans="1:8" s="44" customFormat="1" ht="20.399999999999999" x14ac:dyDescent="0.2">
      <c r="A59" s="114" t="s">
        <v>842</v>
      </c>
    </row>
    <row r="60" spans="1:8" s="44" customFormat="1" ht="10.199999999999999" customHeight="1" x14ac:dyDescent="0.2">
      <c r="A60" s="670" t="s">
        <v>353</v>
      </c>
      <c r="B60" s="672" t="s">
        <v>28</v>
      </c>
      <c r="C60" s="668" t="s">
        <v>579</v>
      </c>
      <c r="D60" s="668" t="s">
        <v>736</v>
      </c>
      <c r="E60" s="668" t="s">
        <v>737</v>
      </c>
      <c r="F60" s="668" t="s">
        <v>253</v>
      </c>
      <c r="G60" s="668" t="s">
        <v>738</v>
      </c>
      <c r="H60" s="668" t="s">
        <v>747</v>
      </c>
    </row>
    <row r="61" spans="1:8" s="44" customFormat="1" ht="10.199999999999999" x14ac:dyDescent="0.2">
      <c r="A61" s="671"/>
      <c r="B61" s="673"/>
      <c r="C61" s="669"/>
      <c r="D61" s="669"/>
      <c r="E61" s="669"/>
      <c r="F61" s="669"/>
      <c r="G61" s="669"/>
      <c r="H61" s="669"/>
    </row>
    <row r="62" spans="1:8" s="44" customFormat="1" ht="10.199999999999999" x14ac:dyDescent="0.2">
      <c r="A62" s="493" t="s">
        <v>748</v>
      </c>
      <c r="B62" s="494"/>
      <c r="C62" s="494"/>
      <c r="D62" s="494"/>
      <c r="E62" s="494"/>
      <c r="F62" s="494"/>
      <c r="G62" s="494"/>
      <c r="H62" s="494"/>
    </row>
    <row r="63" spans="1:8" s="44" customFormat="1" ht="10.199999999999999" x14ac:dyDescent="0.2">
      <c r="A63" s="36" t="s">
        <v>749</v>
      </c>
      <c r="B63" s="129">
        <f>SUM(H63:H63)</f>
        <v>0</v>
      </c>
      <c r="C63" s="129">
        <v>0</v>
      </c>
      <c r="D63" s="129">
        <v>0</v>
      </c>
      <c r="E63" s="129">
        <v>0</v>
      </c>
      <c r="F63" s="129">
        <v>0</v>
      </c>
      <c r="G63" s="129">
        <v>0</v>
      </c>
      <c r="H63" s="130">
        <v>0</v>
      </c>
    </row>
    <row r="64" spans="1:8" s="44" customFormat="1" ht="10.199999999999999" x14ac:dyDescent="0.2">
      <c r="A64" s="36" t="s">
        <v>750</v>
      </c>
      <c r="B64" s="129"/>
      <c r="C64" s="129"/>
      <c r="D64" s="129"/>
      <c r="E64" s="129"/>
      <c r="F64" s="129"/>
      <c r="G64" s="129"/>
      <c r="H64" s="130"/>
    </row>
    <row r="65" spans="1:14" s="44" customFormat="1" ht="10.199999999999999" x14ac:dyDescent="0.2">
      <c r="A65" s="61" t="s">
        <v>751</v>
      </c>
      <c r="B65" s="129">
        <f>B63-B64</f>
        <v>0</v>
      </c>
      <c r="C65" s="129">
        <v>0</v>
      </c>
      <c r="D65" s="129">
        <v>0</v>
      </c>
      <c r="E65" s="129">
        <v>0</v>
      </c>
      <c r="F65" s="129">
        <v>0</v>
      </c>
      <c r="G65" s="129">
        <v>0</v>
      </c>
      <c r="H65" s="129">
        <f>H63-H64</f>
        <v>0</v>
      </c>
    </row>
    <row r="66" spans="1:14" s="493" customFormat="1" ht="10.199999999999999" x14ac:dyDescent="0.2">
      <c r="A66" s="495" t="s">
        <v>256</v>
      </c>
      <c r="B66" s="496"/>
      <c r="C66" s="496"/>
      <c r="D66" s="496"/>
      <c r="E66" s="496"/>
      <c r="F66" s="496"/>
      <c r="G66" s="496"/>
      <c r="H66" s="496"/>
      <c r="I66" s="496"/>
      <c r="J66" s="496"/>
      <c r="K66" s="496"/>
      <c r="L66" s="496"/>
      <c r="M66" s="496"/>
      <c r="N66" s="496"/>
    </row>
    <row r="67" spans="1:14" s="44" customFormat="1" ht="10.199999999999999" x14ac:dyDescent="0.2">
      <c r="A67" s="36" t="s">
        <v>749</v>
      </c>
      <c r="B67" s="129">
        <f>SUM(C67:H67)</f>
        <v>12708787</v>
      </c>
      <c r="C67" s="567">
        <f>798673+1251391+566829+27016+52+440474+378699+1456496+305</f>
        <v>4919935</v>
      </c>
      <c r="D67" s="567">
        <f>263110+1302445+619457+7407+52+274501+7436+508217</f>
        <v>2982625</v>
      </c>
      <c r="E67" s="567">
        <f>119188+2134446+394625+9840+7156+45951+58054-55445</f>
        <v>2713815</v>
      </c>
      <c r="F67" s="567">
        <f>108321+144774+82697+2027+300+11202+66625</f>
        <v>415946</v>
      </c>
      <c r="G67" s="567">
        <f>81237+169429+86878+4305+14257+5629+50655</f>
        <v>412390</v>
      </c>
      <c r="H67" s="567">
        <f>379803+307032+212663+91469+62187+35944+174978</f>
        <v>1264076</v>
      </c>
    </row>
    <row r="68" spans="1:14" s="44" customFormat="1" ht="10.199999999999999" x14ac:dyDescent="0.2">
      <c r="A68" s="36" t="s">
        <v>750</v>
      </c>
      <c r="B68" s="129">
        <f>SUM(C68:H68)</f>
        <v>1304733</v>
      </c>
      <c r="C68" s="567">
        <f>19564+28397+16520+3095+306</f>
        <v>67882</v>
      </c>
      <c r="D68" s="567">
        <f>0</f>
        <v>0</v>
      </c>
      <c r="E68" s="567">
        <f>0</f>
        <v>0</v>
      </c>
      <c r="F68" s="567">
        <f>0</f>
        <v>0</v>
      </c>
      <c r="G68" s="567">
        <f>16504+700</f>
        <v>17204</v>
      </c>
      <c r="H68" s="567">
        <f>379803+307032+204178+91469+62187+174978</f>
        <v>1219647</v>
      </c>
    </row>
    <row r="69" spans="1:14" s="44" customFormat="1" ht="10.199999999999999" x14ac:dyDescent="0.2">
      <c r="A69" s="61" t="s">
        <v>751</v>
      </c>
      <c r="B69" s="129">
        <f>B67-B68</f>
        <v>11404054</v>
      </c>
      <c r="C69" s="567">
        <f>C67-C68</f>
        <v>4852053</v>
      </c>
      <c r="D69" s="567">
        <f t="shared" ref="D69:H69" si="0">D67-D68</f>
        <v>2982625</v>
      </c>
      <c r="E69" s="567">
        <f t="shared" si="0"/>
        <v>2713815</v>
      </c>
      <c r="F69" s="567">
        <f t="shared" si="0"/>
        <v>415946</v>
      </c>
      <c r="G69" s="567">
        <f t="shared" si="0"/>
        <v>395186</v>
      </c>
      <c r="H69" s="567">
        <f t="shared" si="0"/>
        <v>44429</v>
      </c>
    </row>
    <row r="70" spans="1:14" s="44" customFormat="1" ht="10.199999999999999" x14ac:dyDescent="0.2">
      <c r="A70" s="493" t="s">
        <v>417</v>
      </c>
      <c r="B70" s="494"/>
      <c r="C70" s="494"/>
      <c r="D70" s="494"/>
      <c r="E70" s="494"/>
      <c r="F70" s="494"/>
      <c r="G70" s="494"/>
      <c r="H70" s="494"/>
    </row>
    <row r="71" spans="1:14" s="44" customFormat="1" ht="10.199999999999999" x14ac:dyDescent="0.2">
      <c r="A71" s="36" t="s">
        <v>749</v>
      </c>
      <c r="B71" s="129">
        <f t="shared" ref="B71:H73" si="1">B63+B67</f>
        <v>12708787</v>
      </c>
      <c r="C71" s="567">
        <f t="shared" si="1"/>
        <v>4919935</v>
      </c>
      <c r="D71" s="567">
        <f t="shared" si="1"/>
        <v>2982625</v>
      </c>
      <c r="E71" s="567">
        <f t="shared" si="1"/>
        <v>2713815</v>
      </c>
      <c r="F71" s="567">
        <f t="shared" si="1"/>
        <v>415946</v>
      </c>
      <c r="G71" s="567">
        <f t="shared" si="1"/>
        <v>412390</v>
      </c>
      <c r="H71" s="567">
        <f t="shared" si="1"/>
        <v>1264076</v>
      </c>
    </row>
    <row r="72" spans="1:14" s="44" customFormat="1" ht="10.199999999999999" x14ac:dyDescent="0.2">
      <c r="A72" s="36" t="s">
        <v>750</v>
      </c>
      <c r="B72" s="129">
        <f t="shared" si="1"/>
        <v>1304733</v>
      </c>
      <c r="C72" s="567">
        <f t="shared" si="1"/>
        <v>67882</v>
      </c>
      <c r="D72" s="567">
        <f t="shared" si="1"/>
        <v>0</v>
      </c>
      <c r="E72" s="567">
        <f t="shared" si="1"/>
        <v>0</v>
      </c>
      <c r="F72" s="567">
        <f t="shared" si="1"/>
        <v>0</v>
      </c>
      <c r="G72" s="567">
        <f>G64+G68</f>
        <v>17204</v>
      </c>
      <c r="H72" s="567">
        <f t="shared" si="1"/>
        <v>1219647</v>
      </c>
    </row>
    <row r="73" spans="1:14" s="44" customFormat="1" ht="10.199999999999999" x14ac:dyDescent="0.2">
      <c r="A73" s="61" t="s">
        <v>751</v>
      </c>
      <c r="B73" s="129">
        <f t="shared" si="1"/>
        <v>11404054</v>
      </c>
      <c r="C73" s="567">
        <f t="shared" si="1"/>
        <v>4852053</v>
      </c>
      <c r="D73" s="567">
        <f t="shared" si="1"/>
        <v>2982625</v>
      </c>
      <c r="E73" s="567">
        <f t="shared" si="1"/>
        <v>2713815</v>
      </c>
      <c r="F73" s="567">
        <f t="shared" si="1"/>
        <v>415946</v>
      </c>
      <c r="G73" s="567">
        <f t="shared" si="1"/>
        <v>395186</v>
      </c>
      <c r="H73" s="567">
        <f t="shared" si="1"/>
        <v>44429</v>
      </c>
    </row>
    <row r="74" spans="1:14" s="44" customFormat="1" ht="10.199999999999999" x14ac:dyDescent="0.2">
      <c r="B74" s="320">
        <f>B73-B5</f>
        <v>0</v>
      </c>
      <c r="C74" s="320"/>
      <c r="D74" s="320"/>
      <c r="E74" s="320"/>
      <c r="F74" s="320"/>
      <c r="G74" s="320"/>
    </row>
    <row r="75" spans="1:14" s="44" customFormat="1" ht="10.199999999999999" x14ac:dyDescent="0.2">
      <c r="B75" s="383"/>
      <c r="C75" s="383"/>
      <c r="D75" s="383"/>
      <c r="E75" s="383"/>
      <c r="F75" s="383"/>
      <c r="G75" s="383"/>
    </row>
    <row r="76" spans="1:14" s="44" customFormat="1" ht="20.399999999999999" x14ac:dyDescent="0.2">
      <c r="A76" s="114" t="s">
        <v>794</v>
      </c>
    </row>
    <row r="77" spans="1:14" s="44" customFormat="1" ht="10.199999999999999" x14ac:dyDescent="0.2">
      <c r="A77" s="674" t="s">
        <v>353</v>
      </c>
      <c r="B77" s="675" t="s">
        <v>28</v>
      </c>
      <c r="C77" s="668" t="s">
        <v>579</v>
      </c>
      <c r="D77" s="668" t="s">
        <v>736</v>
      </c>
      <c r="E77" s="668" t="s">
        <v>737</v>
      </c>
      <c r="F77" s="668" t="s">
        <v>253</v>
      </c>
      <c r="G77" s="668" t="s">
        <v>738</v>
      </c>
      <c r="H77" s="668" t="s">
        <v>747</v>
      </c>
    </row>
    <row r="78" spans="1:14" s="44" customFormat="1" ht="10.199999999999999" x14ac:dyDescent="0.2">
      <c r="A78" s="674"/>
      <c r="B78" s="675"/>
      <c r="C78" s="669"/>
      <c r="D78" s="669"/>
      <c r="E78" s="669"/>
      <c r="F78" s="669"/>
      <c r="G78" s="669"/>
      <c r="H78" s="669"/>
    </row>
    <row r="79" spans="1:14" s="44" customFormat="1" ht="10.199999999999999" x14ac:dyDescent="0.2">
      <c r="A79" s="493" t="s">
        <v>748</v>
      </c>
      <c r="B79" s="494"/>
      <c r="C79" s="494"/>
      <c r="D79" s="494"/>
      <c r="E79" s="494"/>
      <c r="F79" s="494"/>
      <c r="G79" s="494"/>
      <c r="H79" s="494"/>
    </row>
    <row r="80" spans="1:14" s="44" customFormat="1" ht="10.199999999999999" x14ac:dyDescent="0.2">
      <c r="A80" s="36" t="s">
        <v>749</v>
      </c>
      <c r="B80" s="129">
        <f>SUM(H80:H80)</f>
        <v>0</v>
      </c>
      <c r="C80" s="129">
        <v>0</v>
      </c>
      <c r="D80" s="129">
        <v>0</v>
      </c>
      <c r="E80" s="129">
        <v>0</v>
      </c>
      <c r="F80" s="129">
        <v>0</v>
      </c>
      <c r="G80" s="129">
        <v>0</v>
      </c>
      <c r="H80" s="130">
        <v>0</v>
      </c>
    </row>
    <row r="81" spans="1:14" s="44" customFormat="1" ht="10.199999999999999" x14ac:dyDescent="0.2">
      <c r="A81" s="36" t="s">
        <v>750</v>
      </c>
      <c r="B81" s="129"/>
      <c r="C81" s="129"/>
      <c r="D81" s="129"/>
      <c r="E81" s="129"/>
      <c r="F81" s="129"/>
      <c r="G81" s="129"/>
      <c r="H81" s="130"/>
    </row>
    <row r="82" spans="1:14" s="44" customFormat="1" ht="10.199999999999999" x14ac:dyDescent="0.2">
      <c r="A82" s="61" t="s">
        <v>751</v>
      </c>
      <c r="B82" s="129">
        <f>B80-B81</f>
        <v>0</v>
      </c>
      <c r="C82" s="129">
        <v>0</v>
      </c>
      <c r="D82" s="129">
        <v>0</v>
      </c>
      <c r="E82" s="129">
        <v>0</v>
      </c>
      <c r="F82" s="129">
        <v>0</v>
      </c>
      <c r="G82" s="129">
        <v>0</v>
      </c>
      <c r="H82" s="129">
        <f>H80-H81</f>
        <v>0</v>
      </c>
    </row>
    <row r="83" spans="1:14" s="493" customFormat="1" ht="10.199999999999999" x14ac:dyDescent="0.2">
      <c r="A83" s="495" t="s">
        <v>256</v>
      </c>
      <c r="B83" s="496"/>
      <c r="C83" s="496"/>
      <c r="D83" s="496"/>
      <c r="E83" s="496"/>
      <c r="F83" s="496"/>
      <c r="G83" s="496"/>
      <c r="H83" s="496"/>
      <c r="I83" s="496"/>
      <c r="J83" s="496"/>
      <c r="K83" s="496"/>
      <c r="L83" s="496"/>
      <c r="M83" s="496"/>
      <c r="N83" s="496"/>
    </row>
    <row r="84" spans="1:14" s="44" customFormat="1" ht="10.199999999999999" x14ac:dyDescent="0.2">
      <c r="A84" s="36" t="s">
        <v>749</v>
      </c>
      <c r="B84" s="129">
        <f>SUM(C84:H84)</f>
        <v>11463684</v>
      </c>
      <c r="C84" s="129">
        <v>3945790</v>
      </c>
      <c r="D84" s="129">
        <v>3488858</v>
      </c>
      <c r="E84" s="129">
        <v>2385470</v>
      </c>
      <c r="F84" s="129">
        <v>438095</v>
      </c>
      <c r="G84" s="129">
        <v>414626</v>
      </c>
      <c r="H84" s="129">
        <v>790845</v>
      </c>
    </row>
    <row r="85" spans="1:14" s="44" customFormat="1" ht="10.199999999999999" x14ac:dyDescent="0.2">
      <c r="A85" s="36" t="s">
        <v>750</v>
      </c>
      <c r="B85" s="129">
        <f>SUM(C85:H85)</f>
        <v>836396</v>
      </c>
      <c r="C85" s="129">
        <v>0</v>
      </c>
      <c r="D85" s="129">
        <v>0</v>
      </c>
      <c r="E85" s="129">
        <v>240</v>
      </c>
      <c r="F85" s="129">
        <v>720</v>
      </c>
      <c r="G85" s="129">
        <v>73120</v>
      </c>
      <c r="H85" s="129">
        <v>762316</v>
      </c>
    </row>
    <row r="86" spans="1:14" s="44" customFormat="1" ht="10.199999999999999" x14ac:dyDescent="0.2">
      <c r="A86" s="61" t="s">
        <v>751</v>
      </c>
      <c r="B86" s="129">
        <f>SUM(C86:H86)</f>
        <v>10627288</v>
      </c>
      <c r="C86" s="129">
        <f>C84-C85</f>
        <v>3945790</v>
      </c>
      <c r="D86" s="129">
        <f t="shared" ref="D86:H86" si="2">D84-D85</f>
        <v>3488858</v>
      </c>
      <c r="E86" s="129">
        <f t="shared" si="2"/>
        <v>2385230</v>
      </c>
      <c r="F86" s="129">
        <f t="shared" si="2"/>
        <v>437375</v>
      </c>
      <c r="G86" s="129">
        <f t="shared" si="2"/>
        <v>341506</v>
      </c>
      <c r="H86" s="129">
        <f t="shared" si="2"/>
        <v>28529</v>
      </c>
    </row>
    <row r="87" spans="1:14" s="44" customFormat="1" ht="10.199999999999999" x14ac:dyDescent="0.2">
      <c r="A87" s="493" t="s">
        <v>417</v>
      </c>
      <c r="B87" s="494"/>
      <c r="C87" s="494"/>
      <c r="D87" s="494"/>
      <c r="E87" s="494"/>
      <c r="F87" s="494"/>
      <c r="G87" s="494"/>
      <c r="H87" s="494"/>
    </row>
    <row r="88" spans="1:14" s="44" customFormat="1" ht="10.199999999999999" x14ac:dyDescent="0.2">
      <c r="A88" s="36" t="s">
        <v>749</v>
      </c>
      <c r="B88" s="129">
        <f t="shared" ref="B88:H90" si="3">B80+B84</f>
        <v>11463684</v>
      </c>
      <c r="C88" s="129">
        <f t="shared" si="3"/>
        <v>3945790</v>
      </c>
      <c r="D88" s="129">
        <f t="shared" si="3"/>
        <v>3488858</v>
      </c>
      <c r="E88" s="129">
        <f t="shared" si="3"/>
        <v>2385470</v>
      </c>
      <c r="F88" s="129">
        <f t="shared" si="3"/>
        <v>438095</v>
      </c>
      <c r="G88" s="129">
        <f t="shared" si="3"/>
        <v>414626</v>
      </c>
      <c r="H88" s="129">
        <f t="shared" si="3"/>
        <v>790845</v>
      </c>
    </row>
    <row r="89" spans="1:14" s="44" customFormat="1" ht="10.199999999999999" x14ac:dyDescent="0.2">
      <c r="A89" s="36" t="s">
        <v>750</v>
      </c>
      <c r="B89" s="129">
        <f t="shared" si="3"/>
        <v>836396</v>
      </c>
      <c r="C89" s="129">
        <f t="shared" si="3"/>
        <v>0</v>
      </c>
      <c r="D89" s="129">
        <f t="shared" si="3"/>
        <v>0</v>
      </c>
      <c r="E89" s="129">
        <f t="shared" si="3"/>
        <v>240</v>
      </c>
      <c r="F89" s="129">
        <f t="shared" si="3"/>
        <v>720</v>
      </c>
      <c r="G89" s="129">
        <f>G81+G85</f>
        <v>73120</v>
      </c>
      <c r="H89" s="129">
        <f t="shared" si="3"/>
        <v>762316</v>
      </c>
    </row>
    <row r="90" spans="1:14" s="44" customFormat="1" ht="10.199999999999999" x14ac:dyDescent="0.2">
      <c r="A90" s="61" t="s">
        <v>751</v>
      </c>
      <c r="B90" s="129">
        <f t="shared" si="3"/>
        <v>10627288</v>
      </c>
      <c r="C90" s="129">
        <f t="shared" si="3"/>
        <v>3945790</v>
      </c>
      <c r="D90" s="129">
        <f t="shared" si="3"/>
        <v>3488858</v>
      </c>
      <c r="E90" s="129">
        <f t="shared" si="3"/>
        <v>2385230</v>
      </c>
      <c r="F90" s="129">
        <f t="shared" si="3"/>
        <v>437375</v>
      </c>
      <c r="G90" s="129">
        <f t="shared" si="3"/>
        <v>341506</v>
      </c>
      <c r="H90" s="129">
        <f t="shared" si="3"/>
        <v>28529</v>
      </c>
    </row>
    <row r="91" spans="1:14" s="44" customFormat="1" ht="10.199999999999999" x14ac:dyDescent="0.2">
      <c r="B91" s="320">
        <f>B90-C5</f>
        <v>0</v>
      </c>
      <c r="C91" s="320"/>
      <c r="D91" s="320"/>
      <c r="E91" s="320"/>
      <c r="F91" s="320"/>
      <c r="G91" s="320"/>
    </row>
    <row r="92" spans="1:14" s="44" customFormat="1" ht="10.199999999999999" x14ac:dyDescent="0.2">
      <c r="A92" s="125"/>
      <c r="B92" s="383"/>
      <c r="C92" s="383"/>
      <c r="D92" s="383"/>
      <c r="E92" s="383"/>
      <c r="F92" s="383"/>
      <c r="G92" s="383"/>
    </row>
    <row r="93" spans="1:14" s="44" customFormat="1" ht="10.35" customHeight="1" x14ac:dyDescent="0.2">
      <c r="A93" s="125"/>
    </row>
    <row r="94" spans="1:14" s="44" customFormat="1" ht="10.199999999999999" x14ac:dyDescent="0.2">
      <c r="A94" s="52" t="s">
        <v>558</v>
      </c>
      <c r="B94" s="383"/>
    </row>
    <row r="95" spans="1:14" s="44" customFormat="1" ht="10.199999999999999" x14ac:dyDescent="0.2"/>
    <row r="96" spans="1:14" s="44" customFormat="1" ht="10.199999999999999" x14ac:dyDescent="0.2">
      <c r="A96" s="103" t="s">
        <v>353</v>
      </c>
      <c r="B96" s="461">
        <f>B4</f>
        <v>43465</v>
      </c>
      <c r="C96" s="461">
        <f>C4</f>
        <v>43100</v>
      </c>
      <c r="D96" s="486"/>
      <c r="E96" s="486"/>
      <c r="F96" s="486"/>
      <c r="G96" s="486"/>
    </row>
    <row r="97" spans="1:10" s="136" customFormat="1" ht="20.399999999999999" x14ac:dyDescent="0.2">
      <c r="A97" s="105" t="s">
        <v>559</v>
      </c>
      <c r="B97" s="132">
        <v>673313</v>
      </c>
      <c r="C97" s="132">
        <v>360625</v>
      </c>
      <c r="D97" s="379"/>
      <c r="E97" s="379"/>
      <c r="F97" s="379"/>
      <c r="G97" s="379"/>
      <c r="H97" s="44"/>
    </row>
    <row r="98" spans="1:10" s="136" customFormat="1" ht="10.199999999999999" x14ac:dyDescent="0.2">
      <c r="A98" s="105" t="s">
        <v>408</v>
      </c>
      <c r="B98" s="497">
        <v>664532</v>
      </c>
      <c r="C98" s="497">
        <v>311869</v>
      </c>
      <c r="D98" s="498"/>
      <c r="E98" s="498"/>
      <c r="F98" s="498"/>
      <c r="G98" s="498"/>
      <c r="H98" s="44"/>
    </row>
    <row r="99" spans="1:10" s="136" customFormat="1" ht="20.399999999999999" x14ac:dyDescent="0.2">
      <c r="A99" s="440" t="s">
        <v>560</v>
      </c>
      <c r="B99" s="132">
        <f>B97-B98</f>
        <v>8781</v>
      </c>
      <c r="C99" s="132">
        <f>C97-C98</f>
        <v>48756</v>
      </c>
      <c r="D99" s="379"/>
      <c r="E99" s="379"/>
      <c r="F99" s="379"/>
      <c r="G99" s="379"/>
      <c r="H99" s="44"/>
    </row>
    <row r="100" spans="1:10" x14ac:dyDescent="0.25">
      <c r="H100" s="44"/>
      <c r="I100" s="44"/>
    </row>
    <row r="101" spans="1:10" x14ac:dyDescent="0.25">
      <c r="A101" s="412" t="s">
        <v>970</v>
      </c>
      <c r="B101" s="412"/>
      <c r="C101" s="412"/>
      <c r="D101" s="412"/>
      <c r="E101" s="412"/>
      <c r="F101" s="412"/>
      <c r="G101" s="412"/>
      <c r="H101" s="412"/>
      <c r="I101" s="412"/>
      <c r="J101" s="412"/>
    </row>
    <row r="102" spans="1:10" x14ac:dyDescent="0.25">
      <c r="H102" s="44"/>
      <c r="I102" s="44"/>
    </row>
    <row r="103" spans="1:10" x14ac:dyDescent="0.25">
      <c r="A103" s="115" t="s">
        <v>353</v>
      </c>
      <c r="B103" s="461">
        <f>B4</f>
        <v>43465</v>
      </c>
      <c r="C103" s="461">
        <f>C4</f>
        <v>43100</v>
      </c>
      <c r="D103" s="486"/>
      <c r="E103" s="486"/>
      <c r="F103" s="486"/>
      <c r="G103" s="486"/>
      <c r="H103" s="44"/>
    </row>
    <row r="104" spans="1:10" x14ac:dyDescent="0.25">
      <c r="A104" s="56" t="s">
        <v>210</v>
      </c>
      <c r="B104" s="92">
        <f>SUM(B105:B113)</f>
        <v>885627</v>
      </c>
      <c r="C104" s="92">
        <f>SUM(C105:C113)</f>
        <v>1275640</v>
      </c>
      <c r="D104" s="530"/>
      <c r="E104" s="530"/>
      <c r="F104" s="530"/>
      <c r="G104" s="530"/>
      <c r="H104" s="44"/>
    </row>
    <row r="105" spans="1:10" ht="20.399999999999999" x14ac:dyDescent="0.25">
      <c r="A105" s="233" t="s">
        <v>191</v>
      </c>
      <c r="B105" s="209">
        <f>804304+50281+23343+181199+54520+1-515839</f>
        <v>597809</v>
      </c>
      <c r="C105" s="209">
        <v>1258642</v>
      </c>
      <c r="D105" s="383"/>
      <c r="E105" s="383"/>
      <c r="F105" s="383"/>
      <c r="G105" s="383"/>
      <c r="H105" s="44"/>
    </row>
    <row r="106" spans="1:10" x14ac:dyDescent="0.25">
      <c r="A106" s="233" t="s">
        <v>211</v>
      </c>
      <c r="B106" s="209">
        <v>0</v>
      </c>
      <c r="C106" s="209">
        <v>0</v>
      </c>
      <c r="D106" s="383"/>
      <c r="E106" s="383"/>
      <c r="F106" s="383"/>
      <c r="G106" s="383"/>
      <c r="H106" s="44"/>
    </row>
    <row r="107" spans="1:10" x14ac:dyDescent="0.25">
      <c r="A107" s="233" t="s">
        <v>212</v>
      </c>
      <c r="B107" s="209">
        <v>0</v>
      </c>
      <c r="C107" s="209">
        <v>0</v>
      </c>
      <c r="D107" s="383"/>
      <c r="E107" s="383"/>
      <c r="F107" s="383"/>
      <c r="G107" s="383"/>
      <c r="H107" s="44"/>
    </row>
    <row r="108" spans="1:10" x14ac:dyDescent="0.25">
      <c r="A108" s="233" t="s">
        <v>213</v>
      </c>
      <c r="B108" s="209">
        <v>0</v>
      </c>
      <c r="C108" s="209">
        <v>0</v>
      </c>
      <c r="D108" s="383"/>
      <c r="E108" s="383"/>
      <c r="F108" s="383"/>
      <c r="G108" s="383"/>
      <c r="H108" s="44"/>
    </row>
    <row r="109" spans="1:10" x14ac:dyDescent="0.25">
      <c r="A109" s="392" t="s">
        <v>259</v>
      </c>
      <c r="B109" s="209">
        <v>0</v>
      </c>
      <c r="C109" s="209">
        <v>0</v>
      </c>
      <c r="D109" s="383"/>
      <c r="E109" s="383"/>
      <c r="F109" s="383"/>
      <c r="G109" s="383"/>
      <c r="H109" s="44"/>
    </row>
    <row r="110" spans="1:10" x14ac:dyDescent="0.25">
      <c r="A110" s="382" t="s">
        <v>893</v>
      </c>
      <c r="B110" s="209">
        <v>182095</v>
      </c>
      <c r="C110" s="209">
        <v>0</v>
      </c>
      <c r="D110" s="383"/>
      <c r="E110" s="383"/>
      <c r="F110" s="383"/>
      <c r="G110" s="383"/>
      <c r="H110" s="44"/>
    </row>
    <row r="111" spans="1:10" hidden="1" x14ac:dyDescent="0.25">
      <c r="A111" s="378" t="s">
        <v>294</v>
      </c>
      <c r="B111" s="209"/>
      <c r="C111" s="209"/>
      <c r="D111" s="383"/>
      <c r="E111" s="383"/>
      <c r="F111" s="383"/>
      <c r="G111" s="383"/>
      <c r="H111" s="44"/>
    </row>
    <row r="112" spans="1:10" hidden="1" x14ac:dyDescent="0.25">
      <c r="A112" s="378" t="s">
        <v>294</v>
      </c>
      <c r="B112" s="209"/>
      <c r="C112" s="209"/>
      <c r="D112" s="383"/>
      <c r="E112" s="383"/>
      <c r="F112" s="383"/>
      <c r="G112" s="383"/>
      <c r="H112" s="44"/>
    </row>
    <row r="113" spans="1:9" x14ac:dyDescent="0.25">
      <c r="A113" s="233" t="s">
        <v>555</v>
      </c>
      <c r="B113" s="209">
        <f>4906+485+103+2+100227</f>
        <v>105723</v>
      </c>
      <c r="C113" s="209">
        <v>16998</v>
      </c>
      <c r="D113" s="383"/>
      <c r="E113" s="383"/>
      <c r="F113" s="383"/>
      <c r="G113" s="383"/>
      <c r="H113" s="44"/>
    </row>
    <row r="114" spans="1:9" x14ac:dyDescent="0.25">
      <c r="A114" s="55" t="s">
        <v>203</v>
      </c>
      <c r="B114" s="209">
        <v>0</v>
      </c>
      <c r="C114" s="209">
        <v>0</v>
      </c>
      <c r="D114" s="383"/>
      <c r="E114" s="383"/>
      <c r="F114" s="383"/>
      <c r="G114" s="383"/>
      <c r="H114" s="44"/>
    </row>
    <row r="115" spans="1:9" x14ac:dyDescent="0.25">
      <c r="A115" s="56" t="s">
        <v>102</v>
      </c>
      <c r="B115" s="92">
        <f>B114+B104</f>
        <v>885627</v>
      </c>
      <c r="C115" s="92">
        <f>C114+C104</f>
        <v>1275640</v>
      </c>
      <c r="D115" s="530"/>
      <c r="E115" s="530"/>
      <c r="F115" s="530"/>
      <c r="G115" s="530"/>
      <c r="H115" s="44"/>
    </row>
    <row r="116" spans="1:9" x14ac:dyDescent="0.25">
      <c r="B116" s="320">
        <f>B104-Aktywa!D19</f>
        <v>0</v>
      </c>
      <c r="C116" s="320">
        <f>C104-Aktywa!E19</f>
        <v>0</v>
      </c>
      <c r="D116" s="320"/>
      <c r="E116" s="320"/>
      <c r="F116" s="320"/>
      <c r="G116" s="320"/>
      <c r="H116" s="44"/>
    </row>
    <row r="117" spans="1:9" x14ac:dyDescent="0.25">
      <c r="B117" s="383"/>
      <c r="C117" s="383"/>
      <c r="D117" s="383"/>
      <c r="E117" s="383"/>
      <c r="F117" s="383"/>
      <c r="G117" s="383"/>
      <c r="H117" s="44"/>
      <c r="I117" s="44"/>
    </row>
    <row r="118" spans="1:9" x14ac:dyDescent="0.25">
      <c r="A118" s="115" t="s">
        <v>353</v>
      </c>
      <c r="B118" s="461">
        <f>B4</f>
        <v>43465</v>
      </c>
      <c r="C118" s="461">
        <f>C4</f>
        <v>43100</v>
      </c>
      <c r="D118" s="486"/>
      <c r="E118" s="486"/>
      <c r="F118" s="486"/>
      <c r="G118" s="486"/>
      <c r="H118" s="44"/>
    </row>
    <row r="119" spans="1:9" x14ac:dyDescent="0.25">
      <c r="A119" s="393" t="s">
        <v>210</v>
      </c>
      <c r="B119" s="92">
        <f>B115</f>
        <v>885627</v>
      </c>
      <c r="C119" s="92">
        <f>C115</f>
        <v>1275640</v>
      </c>
      <c r="D119" s="530"/>
      <c r="E119" s="530"/>
      <c r="F119" s="530"/>
      <c r="G119" s="530"/>
      <c r="H119" s="44"/>
    </row>
    <row r="120" spans="1:9" x14ac:dyDescent="0.25">
      <c r="A120" s="394" t="s">
        <v>260</v>
      </c>
      <c r="B120" s="209">
        <v>0</v>
      </c>
      <c r="C120" s="209">
        <v>0</v>
      </c>
      <c r="D120" s="383"/>
      <c r="E120" s="383"/>
      <c r="F120" s="383"/>
      <c r="G120" s="383"/>
      <c r="H120" s="44"/>
    </row>
    <row r="121" spans="1:9" x14ac:dyDescent="0.25">
      <c r="A121" s="394" t="s">
        <v>261</v>
      </c>
      <c r="B121" s="209">
        <f>B119</f>
        <v>885627</v>
      </c>
      <c r="C121" s="209">
        <v>1275661</v>
      </c>
      <c r="D121" s="383"/>
      <c r="E121" s="383"/>
      <c r="F121" s="383"/>
      <c r="G121" s="383"/>
      <c r="H121" s="44"/>
    </row>
    <row r="122" spans="1:9" x14ac:dyDescent="0.25">
      <c r="A122" s="395" t="s">
        <v>203</v>
      </c>
      <c r="B122" s="209">
        <v>0</v>
      </c>
      <c r="C122" s="209">
        <v>0</v>
      </c>
      <c r="D122" s="383"/>
      <c r="E122" s="383"/>
      <c r="F122" s="383"/>
      <c r="G122" s="383"/>
      <c r="H122" s="44"/>
    </row>
    <row r="123" spans="1:9" x14ac:dyDescent="0.25">
      <c r="A123" s="393" t="s">
        <v>102</v>
      </c>
      <c r="B123" s="92">
        <f>B122+B119</f>
        <v>885627</v>
      </c>
      <c r="C123" s="92">
        <f>C122+C119</f>
        <v>1275640</v>
      </c>
      <c r="D123" s="530"/>
      <c r="E123" s="530"/>
      <c r="F123" s="530"/>
      <c r="G123" s="530"/>
      <c r="H123" s="44"/>
    </row>
    <row r="124" spans="1:9" x14ac:dyDescent="0.25">
      <c r="B124" s="320"/>
      <c r="C124" s="320"/>
      <c r="D124" s="320"/>
      <c r="E124" s="320"/>
      <c r="F124" s="320"/>
      <c r="G124" s="320"/>
    </row>
    <row r="125" spans="1:9" x14ac:dyDescent="0.25">
      <c r="A125" s="75"/>
      <c r="B125" s="379"/>
      <c r="C125" s="379"/>
      <c r="D125" s="379"/>
      <c r="E125" s="379"/>
      <c r="F125" s="379"/>
      <c r="G125" s="379"/>
      <c r="H125" s="44"/>
      <c r="I125" s="44"/>
    </row>
  </sheetData>
  <mergeCells count="20">
    <mergeCell ref="F77:F78"/>
    <mergeCell ref="G77:G78"/>
    <mergeCell ref="H77:H78"/>
    <mergeCell ref="A60:A61"/>
    <mergeCell ref="B60:B61"/>
    <mergeCell ref="C60:C61"/>
    <mergeCell ref="D60:D61"/>
    <mergeCell ref="E60:E61"/>
    <mergeCell ref="A77:A78"/>
    <mergeCell ref="B77:B78"/>
    <mergeCell ref="C77:C78"/>
    <mergeCell ref="D77:D78"/>
    <mergeCell ref="E77:E78"/>
    <mergeCell ref="B3:H3"/>
    <mergeCell ref="A12:K12"/>
    <mergeCell ref="B13:H13"/>
    <mergeCell ref="F60:F61"/>
    <mergeCell ref="G60:G61"/>
    <mergeCell ref="H60:H61"/>
    <mergeCell ref="A53:C53"/>
  </mergeCells>
  <phoneticPr fontId="28" type="noConversion"/>
  <pageMargins left="0.75" right="0.75" top="1" bottom="1" header="0.5" footer="0.5"/>
  <pageSetup paperSize="9" orientation="landscape" r:id="rId1"/>
  <headerFooter alignWithMargins="0"/>
  <rowBreaks count="1" manualBreakCount="1">
    <brk id="64" max="8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/>
  <dimension ref="A1:F13"/>
  <sheetViews>
    <sheetView showGridLines="0" view="pageBreakPreview" zoomScaleNormal="100" zoomScaleSheetLayoutView="100" workbookViewId="0">
      <selection activeCell="G11" sqref="G11"/>
    </sheetView>
  </sheetViews>
  <sheetFormatPr defaultColWidth="9.21875" defaultRowHeight="13.2" x14ac:dyDescent="0.25"/>
  <cols>
    <col min="1" max="1" width="54.77734375" customWidth="1"/>
    <col min="2" max="3" width="14.21875" customWidth="1"/>
    <col min="4" max="4" width="13.21875" customWidth="1"/>
  </cols>
  <sheetData>
    <row r="1" spans="1:6" x14ac:dyDescent="0.25">
      <c r="A1" s="38"/>
    </row>
    <row r="2" spans="1:6" s="44" customFormat="1" x14ac:dyDescent="0.25">
      <c r="A2" s="412" t="s">
        <v>972</v>
      </c>
      <c r="B2" s="412"/>
      <c r="C2" s="412"/>
      <c r="D2" s="412"/>
      <c r="E2" s="412"/>
      <c r="F2" s="412"/>
    </row>
    <row r="3" spans="1:6" s="44" customFormat="1" ht="10.199999999999999" x14ac:dyDescent="0.2">
      <c r="B3" s="662"/>
      <c r="C3" s="662"/>
    </row>
    <row r="4" spans="1:6" s="44" customFormat="1" ht="10.199999999999999" x14ac:dyDescent="0.2">
      <c r="A4" s="115" t="s">
        <v>353</v>
      </c>
      <c r="B4" s="461">
        <f>Aktywa!D2</f>
        <v>43465</v>
      </c>
      <c r="C4" s="461">
        <f>Aktywa!E2</f>
        <v>43100</v>
      </c>
    </row>
    <row r="5" spans="1:6" s="44" customFormat="1" ht="10.199999999999999" x14ac:dyDescent="0.2">
      <c r="A5" s="46" t="s">
        <v>724</v>
      </c>
      <c r="B5" s="209">
        <f>6144+3709+643+1277+261+401-2872.73</f>
        <v>9562.27</v>
      </c>
      <c r="C5" s="209">
        <v>7950</v>
      </c>
    </row>
    <row r="6" spans="1:6" s="44" customFormat="1" ht="10.199999999999999" x14ac:dyDescent="0.2">
      <c r="A6" s="46" t="s">
        <v>894</v>
      </c>
      <c r="B6" s="209">
        <f>8087+68+650</f>
        <v>8805</v>
      </c>
      <c r="C6" s="209">
        <f>5687</f>
        <v>5687</v>
      </c>
    </row>
    <row r="7" spans="1:6" s="44" customFormat="1" ht="10.199999999999999" x14ac:dyDescent="0.2">
      <c r="A7" s="46" t="s">
        <v>895</v>
      </c>
      <c r="B7" s="209">
        <v>21025</v>
      </c>
      <c r="C7" s="209">
        <v>28981</v>
      </c>
    </row>
    <row r="8" spans="1:6" s="44" customFormat="1" ht="10.199999999999999" x14ac:dyDescent="0.2">
      <c r="A8" s="46" t="s">
        <v>725</v>
      </c>
      <c r="B8" s="209">
        <f>0+1321</f>
        <v>1321</v>
      </c>
      <c r="C8" s="209">
        <v>3390</v>
      </c>
    </row>
    <row r="9" spans="1:6" s="44" customFormat="1" ht="10.199999999999999" hidden="1" x14ac:dyDescent="0.2">
      <c r="A9" s="46" t="s">
        <v>673</v>
      </c>
      <c r="B9" s="209"/>
      <c r="C9" s="209"/>
    </row>
    <row r="10" spans="1:6" s="44" customFormat="1" ht="10.199999999999999" x14ac:dyDescent="0.2">
      <c r="A10" s="46" t="s">
        <v>678</v>
      </c>
      <c r="B10" s="209">
        <v>0</v>
      </c>
      <c r="C10" s="209">
        <f>6128+6659</f>
        <v>12787</v>
      </c>
    </row>
    <row r="11" spans="1:6" x14ac:dyDescent="0.25">
      <c r="A11" s="46" t="s">
        <v>214</v>
      </c>
      <c r="B11" s="209">
        <v>81476</v>
      </c>
      <c r="C11" s="209">
        <f>78326-5687-28981</f>
        <v>43658</v>
      </c>
    </row>
    <row r="12" spans="1:6" s="44" customFormat="1" ht="10.199999999999999" x14ac:dyDescent="0.2">
      <c r="A12" s="568" t="s">
        <v>193</v>
      </c>
      <c r="B12" s="92">
        <f>SUM(B5:B11)</f>
        <v>122189.27</v>
      </c>
      <c r="C12" s="92">
        <f>SUM(C5:C11)</f>
        <v>102453</v>
      </c>
    </row>
    <row r="13" spans="1:6" x14ac:dyDescent="0.25">
      <c r="B13" s="320">
        <f>B12-Aktywa!D24</f>
        <v>0.27000000000407454</v>
      </c>
      <c r="C13" s="320">
        <f>C12-Aktywa!E24</f>
        <v>0</v>
      </c>
    </row>
  </sheetData>
  <mergeCells count="1">
    <mergeCell ref="B3:C3"/>
  </mergeCells>
  <phoneticPr fontId="30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/>
  <dimension ref="A1:F15"/>
  <sheetViews>
    <sheetView showGridLines="0" view="pageBreakPreview" zoomScaleNormal="100" zoomScaleSheetLayoutView="100" workbookViewId="0">
      <selection activeCell="G9" sqref="G9"/>
    </sheetView>
  </sheetViews>
  <sheetFormatPr defaultColWidth="9.21875" defaultRowHeight="13.2" x14ac:dyDescent="0.25"/>
  <cols>
    <col min="1" max="1" width="56.21875" style="44" customWidth="1"/>
    <col min="2" max="2" width="15.5546875" style="44" customWidth="1"/>
    <col min="3" max="3" width="14.44140625" style="44" customWidth="1"/>
    <col min="4" max="4" width="13.21875" style="44" customWidth="1"/>
    <col min="5" max="6" width="9.21875" style="44"/>
  </cols>
  <sheetData>
    <row r="1" spans="1:6" x14ac:dyDescent="0.25">
      <c r="A1" s="38"/>
      <c r="B1"/>
      <c r="C1"/>
      <c r="D1"/>
      <c r="E1"/>
      <c r="F1"/>
    </row>
    <row r="2" spans="1:6" s="44" customFormat="1" x14ac:dyDescent="0.25">
      <c r="A2" s="412" t="s">
        <v>973</v>
      </c>
      <c r="B2" s="412"/>
      <c r="C2" s="412"/>
      <c r="D2" s="412"/>
      <c r="E2" s="412"/>
      <c r="F2" s="412"/>
    </row>
    <row r="3" spans="1:6" s="44" customFormat="1" ht="10.199999999999999" x14ac:dyDescent="0.2"/>
    <row r="4" spans="1:6" x14ac:dyDescent="0.25">
      <c r="A4" s="52"/>
      <c r="B4" s="52"/>
      <c r="C4" s="52"/>
      <c r="D4" s="383"/>
      <c r="F4"/>
    </row>
    <row r="5" spans="1:6" x14ac:dyDescent="0.25">
      <c r="A5" s="52"/>
      <c r="B5" s="52"/>
      <c r="C5" s="52"/>
      <c r="D5" s="383"/>
      <c r="F5"/>
    </row>
    <row r="6" spans="1:6" x14ac:dyDescent="0.25">
      <c r="A6" s="103" t="s">
        <v>353</v>
      </c>
      <c r="B6" s="461">
        <v>43465</v>
      </c>
      <c r="C6" s="461">
        <v>43100</v>
      </c>
      <c r="D6" s="383"/>
      <c r="F6"/>
    </row>
    <row r="7" spans="1:6" x14ac:dyDescent="0.25">
      <c r="A7" s="57" t="s">
        <v>124</v>
      </c>
      <c r="B7" s="92">
        <f>SUM(B8:B10)</f>
        <v>2267111</v>
      </c>
      <c r="C7" s="92">
        <f>SUM(C8:C10)</f>
        <v>4803839</v>
      </c>
      <c r="D7" s="383"/>
      <c r="F7"/>
    </row>
    <row r="8" spans="1:6" x14ac:dyDescent="0.25">
      <c r="A8" s="91" t="s">
        <v>808</v>
      </c>
      <c r="B8" s="209">
        <f>4065+138+849+887+1088</f>
        <v>7027</v>
      </c>
      <c r="C8" s="209">
        <v>22317</v>
      </c>
      <c r="D8" s="383"/>
      <c r="F8"/>
    </row>
    <row r="9" spans="1:6" x14ac:dyDescent="0.25">
      <c r="A9" s="91" t="s">
        <v>809</v>
      </c>
      <c r="B9" s="209">
        <f>174449+460052+208106+65092+256262+249801+726032+97624+1</f>
        <v>2237419</v>
      </c>
      <c r="C9" s="209">
        <v>4751319</v>
      </c>
      <c r="D9" s="383"/>
      <c r="F9"/>
    </row>
    <row r="10" spans="1:6" x14ac:dyDescent="0.25">
      <c r="A10" s="91" t="s">
        <v>820</v>
      </c>
      <c r="B10" s="209">
        <f>20181+2484</f>
        <v>22665</v>
      </c>
      <c r="C10" s="209">
        <v>30203</v>
      </c>
      <c r="D10" s="383"/>
      <c r="F10"/>
    </row>
    <row r="11" spans="1:6" x14ac:dyDescent="0.25">
      <c r="A11" s="53" t="s">
        <v>28</v>
      </c>
      <c r="B11" s="92">
        <f>SUM(B8:B10)</f>
        <v>2267111</v>
      </c>
      <c r="C11" s="92">
        <f>SUM(C8:C10)</f>
        <v>4803839</v>
      </c>
      <c r="D11" s="383"/>
      <c r="F11"/>
    </row>
    <row r="12" spans="1:6" x14ac:dyDescent="0.25">
      <c r="A12" s="569"/>
      <c r="B12" s="570">
        <f>B11-Aktywa!D25</f>
        <v>0</v>
      </c>
      <c r="C12" s="570">
        <f>C11-Aktywa!E25</f>
        <v>0</v>
      </c>
      <c r="D12" s="383"/>
      <c r="F12"/>
    </row>
    <row r="13" spans="1:6" x14ac:dyDescent="0.25">
      <c r="A13" s="52"/>
      <c r="B13" s="52"/>
      <c r="C13" s="52"/>
    </row>
    <row r="14" spans="1:6" x14ac:dyDescent="0.25">
      <c r="A14" s="52"/>
      <c r="B14" s="52"/>
      <c r="C14" s="52"/>
      <c r="F14"/>
    </row>
    <row r="15" spans="1:6" x14ac:dyDescent="0.25">
      <c r="A15"/>
      <c r="B15"/>
      <c r="C15"/>
    </row>
  </sheetData>
  <phoneticPr fontId="28" type="noConversion"/>
  <pageMargins left="0.75" right="0.75" top="1" bottom="1" header="0.5" footer="0.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/>
  <dimension ref="B1:I136"/>
  <sheetViews>
    <sheetView showGridLines="0" view="pageBreakPreview" topLeftCell="A114" zoomScaleNormal="100" zoomScaleSheetLayoutView="85" workbookViewId="0">
      <selection activeCell="E124" sqref="E124"/>
    </sheetView>
  </sheetViews>
  <sheetFormatPr defaultRowHeight="10.199999999999999" x14ac:dyDescent="0.2"/>
  <cols>
    <col min="1" max="1" width="2.77734375" style="44" customWidth="1"/>
    <col min="2" max="2" width="35.5546875" style="44" customWidth="1"/>
    <col min="3" max="4" width="13.77734375" style="44" customWidth="1"/>
    <col min="5" max="5" width="11.5546875" style="44" customWidth="1"/>
    <col min="6" max="6" width="12.44140625" style="44" customWidth="1"/>
    <col min="7" max="7" width="12.21875" style="44" customWidth="1"/>
    <col min="8" max="9" width="12.77734375" style="44" customWidth="1"/>
    <col min="10" max="256" width="9.21875" style="44"/>
    <col min="257" max="257" width="2.77734375" style="44" customWidth="1"/>
    <col min="258" max="258" width="35.5546875" style="44" customWidth="1"/>
    <col min="259" max="260" width="13.77734375" style="44" customWidth="1"/>
    <col min="261" max="261" width="11.5546875" style="44" customWidth="1"/>
    <col min="262" max="262" width="12.44140625" style="44" customWidth="1"/>
    <col min="263" max="263" width="12.21875" style="44" customWidth="1"/>
    <col min="264" max="265" width="12.77734375" style="44" customWidth="1"/>
    <col min="266" max="512" width="9.21875" style="44"/>
    <col min="513" max="513" width="2.77734375" style="44" customWidth="1"/>
    <col min="514" max="514" width="35.5546875" style="44" customWidth="1"/>
    <col min="515" max="516" width="13.77734375" style="44" customWidth="1"/>
    <col min="517" max="517" width="11.5546875" style="44" customWidth="1"/>
    <col min="518" max="518" width="12.44140625" style="44" customWidth="1"/>
    <col min="519" max="519" width="12.21875" style="44" customWidth="1"/>
    <col min="520" max="521" width="12.77734375" style="44" customWidth="1"/>
    <col min="522" max="768" width="9.21875" style="44"/>
    <col min="769" max="769" width="2.77734375" style="44" customWidth="1"/>
    <col min="770" max="770" width="35.5546875" style="44" customWidth="1"/>
    <col min="771" max="772" width="13.77734375" style="44" customWidth="1"/>
    <col min="773" max="773" width="11.5546875" style="44" customWidth="1"/>
    <col min="774" max="774" width="12.44140625" style="44" customWidth="1"/>
    <col min="775" max="775" width="12.21875" style="44" customWidth="1"/>
    <col min="776" max="777" width="12.77734375" style="44" customWidth="1"/>
    <col min="778" max="1024" width="9.21875" style="44"/>
    <col min="1025" max="1025" width="2.77734375" style="44" customWidth="1"/>
    <col min="1026" max="1026" width="35.5546875" style="44" customWidth="1"/>
    <col min="1027" max="1028" width="13.77734375" style="44" customWidth="1"/>
    <col min="1029" max="1029" width="11.5546875" style="44" customWidth="1"/>
    <col min="1030" max="1030" width="12.44140625" style="44" customWidth="1"/>
    <col min="1031" max="1031" width="12.21875" style="44" customWidth="1"/>
    <col min="1032" max="1033" width="12.77734375" style="44" customWidth="1"/>
    <col min="1034" max="1280" width="9.21875" style="44"/>
    <col min="1281" max="1281" width="2.77734375" style="44" customWidth="1"/>
    <col min="1282" max="1282" width="35.5546875" style="44" customWidth="1"/>
    <col min="1283" max="1284" width="13.77734375" style="44" customWidth="1"/>
    <col min="1285" max="1285" width="11.5546875" style="44" customWidth="1"/>
    <col min="1286" max="1286" width="12.44140625" style="44" customWidth="1"/>
    <col min="1287" max="1287" width="12.21875" style="44" customWidth="1"/>
    <col min="1288" max="1289" width="12.77734375" style="44" customWidth="1"/>
    <col min="1290" max="1536" width="9.21875" style="44"/>
    <col min="1537" max="1537" width="2.77734375" style="44" customWidth="1"/>
    <col min="1538" max="1538" width="35.5546875" style="44" customWidth="1"/>
    <col min="1539" max="1540" width="13.77734375" style="44" customWidth="1"/>
    <col min="1541" max="1541" width="11.5546875" style="44" customWidth="1"/>
    <col min="1542" max="1542" width="12.44140625" style="44" customWidth="1"/>
    <col min="1543" max="1543" width="12.21875" style="44" customWidth="1"/>
    <col min="1544" max="1545" width="12.77734375" style="44" customWidth="1"/>
    <col min="1546" max="1792" width="9.21875" style="44"/>
    <col min="1793" max="1793" width="2.77734375" style="44" customWidth="1"/>
    <col min="1794" max="1794" width="35.5546875" style="44" customWidth="1"/>
    <col min="1795" max="1796" width="13.77734375" style="44" customWidth="1"/>
    <col min="1797" max="1797" width="11.5546875" style="44" customWidth="1"/>
    <col min="1798" max="1798" width="12.44140625" style="44" customWidth="1"/>
    <col min="1799" max="1799" width="12.21875" style="44" customWidth="1"/>
    <col min="1800" max="1801" width="12.77734375" style="44" customWidth="1"/>
    <col min="1802" max="2048" width="9.21875" style="44"/>
    <col min="2049" max="2049" width="2.77734375" style="44" customWidth="1"/>
    <col min="2050" max="2050" width="35.5546875" style="44" customWidth="1"/>
    <col min="2051" max="2052" width="13.77734375" style="44" customWidth="1"/>
    <col min="2053" max="2053" width="11.5546875" style="44" customWidth="1"/>
    <col min="2054" max="2054" width="12.44140625" style="44" customWidth="1"/>
    <col min="2055" max="2055" width="12.21875" style="44" customWidth="1"/>
    <col min="2056" max="2057" width="12.77734375" style="44" customWidth="1"/>
    <col min="2058" max="2304" width="9.21875" style="44"/>
    <col min="2305" max="2305" width="2.77734375" style="44" customWidth="1"/>
    <col min="2306" max="2306" width="35.5546875" style="44" customWidth="1"/>
    <col min="2307" max="2308" width="13.77734375" style="44" customWidth="1"/>
    <col min="2309" max="2309" width="11.5546875" style="44" customWidth="1"/>
    <col min="2310" max="2310" width="12.44140625" style="44" customWidth="1"/>
    <col min="2311" max="2311" width="12.21875" style="44" customWidth="1"/>
    <col min="2312" max="2313" width="12.77734375" style="44" customWidth="1"/>
    <col min="2314" max="2560" width="9.21875" style="44"/>
    <col min="2561" max="2561" width="2.77734375" style="44" customWidth="1"/>
    <col min="2562" max="2562" width="35.5546875" style="44" customWidth="1"/>
    <col min="2563" max="2564" width="13.77734375" style="44" customWidth="1"/>
    <col min="2565" max="2565" width="11.5546875" style="44" customWidth="1"/>
    <col min="2566" max="2566" width="12.44140625" style="44" customWidth="1"/>
    <col min="2567" max="2567" width="12.21875" style="44" customWidth="1"/>
    <col min="2568" max="2569" width="12.77734375" style="44" customWidth="1"/>
    <col min="2570" max="2816" width="9.21875" style="44"/>
    <col min="2817" max="2817" width="2.77734375" style="44" customWidth="1"/>
    <col min="2818" max="2818" width="35.5546875" style="44" customWidth="1"/>
    <col min="2819" max="2820" width="13.77734375" style="44" customWidth="1"/>
    <col min="2821" max="2821" width="11.5546875" style="44" customWidth="1"/>
    <col min="2822" max="2822" width="12.44140625" style="44" customWidth="1"/>
    <col min="2823" max="2823" width="12.21875" style="44" customWidth="1"/>
    <col min="2824" max="2825" width="12.77734375" style="44" customWidth="1"/>
    <col min="2826" max="3072" width="9.21875" style="44"/>
    <col min="3073" max="3073" width="2.77734375" style="44" customWidth="1"/>
    <col min="3074" max="3074" width="35.5546875" style="44" customWidth="1"/>
    <col min="3075" max="3076" width="13.77734375" style="44" customWidth="1"/>
    <col min="3077" max="3077" width="11.5546875" style="44" customWidth="1"/>
    <col min="3078" max="3078" width="12.44140625" style="44" customWidth="1"/>
    <col min="3079" max="3079" width="12.21875" style="44" customWidth="1"/>
    <col min="3080" max="3081" width="12.77734375" style="44" customWidth="1"/>
    <col min="3082" max="3328" width="9.21875" style="44"/>
    <col min="3329" max="3329" width="2.77734375" style="44" customWidth="1"/>
    <col min="3330" max="3330" width="35.5546875" style="44" customWidth="1"/>
    <col min="3331" max="3332" width="13.77734375" style="44" customWidth="1"/>
    <col min="3333" max="3333" width="11.5546875" style="44" customWidth="1"/>
    <col min="3334" max="3334" width="12.44140625" style="44" customWidth="1"/>
    <col min="3335" max="3335" width="12.21875" style="44" customWidth="1"/>
    <col min="3336" max="3337" width="12.77734375" style="44" customWidth="1"/>
    <col min="3338" max="3584" width="9.21875" style="44"/>
    <col min="3585" max="3585" width="2.77734375" style="44" customWidth="1"/>
    <col min="3586" max="3586" width="35.5546875" style="44" customWidth="1"/>
    <col min="3587" max="3588" width="13.77734375" style="44" customWidth="1"/>
    <col min="3589" max="3589" width="11.5546875" style="44" customWidth="1"/>
    <col min="3590" max="3590" width="12.44140625" style="44" customWidth="1"/>
    <col min="3591" max="3591" width="12.21875" style="44" customWidth="1"/>
    <col min="3592" max="3593" width="12.77734375" style="44" customWidth="1"/>
    <col min="3594" max="3840" width="9.21875" style="44"/>
    <col min="3841" max="3841" width="2.77734375" style="44" customWidth="1"/>
    <col min="3842" max="3842" width="35.5546875" style="44" customWidth="1"/>
    <col min="3843" max="3844" width="13.77734375" style="44" customWidth="1"/>
    <col min="3845" max="3845" width="11.5546875" style="44" customWidth="1"/>
    <col min="3846" max="3846" width="12.44140625" style="44" customWidth="1"/>
    <col min="3847" max="3847" width="12.21875" style="44" customWidth="1"/>
    <col min="3848" max="3849" width="12.77734375" style="44" customWidth="1"/>
    <col min="3850" max="4096" width="9.21875" style="44"/>
    <col min="4097" max="4097" width="2.77734375" style="44" customWidth="1"/>
    <col min="4098" max="4098" width="35.5546875" style="44" customWidth="1"/>
    <col min="4099" max="4100" width="13.77734375" style="44" customWidth="1"/>
    <col min="4101" max="4101" width="11.5546875" style="44" customWidth="1"/>
    <col min="4102" max="4102" width="12.44140625" style="44" customWidth="1"/>
    <col min="4103" max="4103" width="12.21875" style="44" customWidth="1"/>
    <col min="4104" max="4105" width="12.77734375" style="44" customWidth="1"/>
    <col min="4106" max="4352" width="9.21875" style="44"/>
    <col min="4353" max="4353" width="2.77734375" style="44" customWidth="1"/>
    <col min="4354" max="4354" width="35.5546875" style="44" customWidth="1"/>
    <col min="4355" max="4356" width="13.77734375" style="44" customWidth="1"/>
    <col min="4357" max="4357" width="11.5546875" style="44" customWidth="1"/>
    <col min="4358" max="4358" width="12.44140625" style="44" customWidth="1"/>
    <col min="4359" max="4359" width="12.21875" style="44" customWidth="1"/>
    <col min="4360" max="4361" width="12.77734375" style="44" customWidth="1"/>
    <col min="4362" max="4608" width="9.21875" style="44"/>
    <col min="4609" max="4609" width="2.77734375" style="44" customWidth="1"/>
    <col min="4610" max="4610" width="35.5546875" style="44" customWidth="1"/>
    <col min="4611" max="4612" width="13.77734375" style="44" customWidth="1"/>
    <col min="4613" max="4613" width="11.5546875" style="44" customWidth="1"/>
    <col min="4614" max="4614" width="12.44140625" style="44" customWidth="1"/>
    <col min="4615" max="4615" width="12.21875" style="44" customWidth="1"/>
    <col min="4616" max="4617" width="12.77734375" style="44" customWidth="1"/>
    <col min="4618" max="4864" width="9.21875" style="44"/>
    <col min="4865" max="4865" width="2.77734375" style="44" customWidth="1"/>
    <col min="4866" max="4866" width="35.5546875" style="44" customWidth="1"/>
    <col min="4867" max="4868" width="13.77734375" style="44" customWidth="1"/>
    <col min="4869" max="4869" width="11.5546875" style="44" customWidth="1"/>
    <col min="4870" max="4870" width="12.44140625" style="44" customWidth="1"/>
    <col min="4871" max="4871" width="12.21875" style="44" customWidth="1"/>
    <col min="4872" max="4873" width="12.77734375" style="44" customWidth="1"/>
    <col min="4874" max="5120" width="9.21875" style="44"/>
    <col min="5121" max="5121" width="2.77734375" style="44" customWidth="1"/>
    <col min="5122" max="5122" width="35.5546875" style="44" customWidth="1"/>
    <col min="5123" max="5124" width="13.77734375" style="44" customWidth="1"/>
    <col min="5125" max="5125" width="11.5546875" style="44" customWidth="1"/>
    <col min="5126" max="5126" width="12.44140625" style="44" customWidth="1"/>
    <col min="5127" max="5127" width="12.21875" style="44" customWidth="1"/>
    <col min="5128" max="5129" width="12.77734375" style="44" customWidth="1"/>
    <col min="5130" max="5376" width="9.21875" style="44"/>
    <col min="5377" max="5377" width="2.77734375" style="44" customWidth="1"/>
    <col min="5378" max="5378" width="35.5546875" style="44" customWidth="1"/>
    <col min="5379" max="5380" width="13.77734375" style="44" customWidth="1"/>
    <col min="5381" max="5381" width="11.5546875" style="44" customWidth="1"/>
    <col min="5382" max="5382" width="12.44140625" style="44" customWidth="1"/>
    <col min="5383" max="5383" width="12.21875" style="44" customWidth="1"/>
    <col min="5384" max="5385" width="12.77734375" style="44" customWidth="1"/>
    <col min="5386" max="5632" width="9.21875" style="44"/>
    <col min="5633" max="5633" width="2.77734375" style="44" customWidth="1"/>
    <col min="5634" max="5634" width="35.5546875" style="44" customWidth="1"/>
    <col min="5635" max="5636" width="13.77734375" style="44" customWidth="1"/>
    <col min="5637" max="5637" width="11.5546875" style="44" customWidth="1"/>
    <col min="5638" max="5638" width="12.44140625" style="44" customWidth="1"/>
    <col min="5639" max="5639" width="12.21875" style="44" customWidth="1"/>
    <col min="5640" max="5641" width="12.77734375" style="44" customWidth="1"/>
    <col min="5642" max="5888" width="9.21875" style="44"/>
    <col min="5889" max="5889" width="2.77734375" style="44" customWidth="1"/>
    <col min="5890" max="5890" width="35.5546875" style="44" customWidth="1"/>
    <col min="5891" max="5892" width="13.77734375" style="44" customWidth="1"/>
    <col min="5893" max="5893" width="11.5546875" style="44" customWidth="1"/>
    <col min="5894" max="5894" width="12.44140625" style="44" customWidth="1"/>
    <col min="5895" max="5895" width="12.21875" style="44" customWidth="1"/>
    <col min="5896" max="5897" width="12.77734375" style="44" customWidth="1"/>
    <col min="5898" max="6144" width="9.21875" style="44"/>
    <col min="6145" max="6145" width="2.77734375" style="44" customWidth="1"/>
    <col min="6146" max="6146" width="35.5546875" style="44" customWidth="1"/>
    <col min="6147" max="6148" width="13.77734375" style="44" customWidth="1"/>
    <col min="6149" max="6149" width="11.5546875" style="44" customWidth="1"/>
    <col min="6150" max="6150" width="12.44140625" style="44" customWidth="1"/>
    <col min="6151" max="6151" width="12.21875" style="44" customWidth="1"/>
    <col min="6152" max="6153" width="12.77734375" style="44" customWidth="1"/>
    <col min="6154" max="6400" width="9.21875" style="44"/>
    <col min="6401" max="6401" width="2.77734375" style="44" customWidth="1"/>
    <col min="6402" max="6402" width="35.5546875" style="44" customWidth="1"/>
    <col min="6403" max="6404" width="13.77734375" style="44" customWidth="1"/>
    <col min="6405" max="6405" width="11.5546875" style="44" customWidth="1"/>
    <col min="6406" max="6406" width="12.44140625" style="44" customWidth="1"/>
    <col min="6407" max="6407" width="12.21875" style="44" customWidth="1"/>
    <col min="6408" max="6409" width="12.77734375" style="44" customWidth="1"/>
    <col min="6410" max="6656" width="9.21875" style="44"/>
    <col min="6657" max="6657" width="2.77734375" style="44" customWidth="1"/>
    <col min="6658" max="6658" width="35.5546875" style="44" customWidth="1"/>
    <col min="6659" max="6660" width="13.77734375" style="44" customWidth="1"/>
    <col min="6661" max="6661" width="11.5546875" style="44" customWidth="1"/>
    <col min="6662" max="6662" width="12.44140625" style="44" customWidth="1"/>
    <col min="6663" max="6663" width="12.21875" style="44" customWidth="1"/>
    <col min="6664" max="6665" width="12.77734375" style="44" customWidth="1"/>
    <col min="6666" max="6912" width="9.21875" style="44"/>
    <col min="6913" max="6913" width="2.77734375" style="44" customWidth="1"/>
    <col min="6914" max="6914" width="35.5546875" style="44" customWidth="1"/>
    <col min="6915" max="6916" width="13.77734375" style="44" customWidth="1"/>
    <col min="6917" max="6917" width="11.5546875" style="44" customWidth="1"/>
    <col min="6918" max="6918" width="12.44140625" style="44" customWidth="1"/>
    <col min="6919" max="6919" width="12.21875" style="44" customWidth="1"/>
    <col min="6920" max="6921" width="12.77734375" style="44" customWidth="1"/>
    <col min="6922" max="7168" width="9.21875" style="44"/>
    <col min="7169" max="7169" width="2.77734375" style="44" customWidth="1"/>
    <col min="7170" max="7170" width="35.5546875" style="44" customWidth="1"/>
    <col min="7171" max="7172" width="13.77734375" style="44" customWidth="1"/>
    <col min="7173" max="7173" width="11.5546875" style="44" customWidth="1"/>
    <col min="7174" max="7174" width="12.44140625" style="44" customWidth="1"/>
    <col min="7175" max="7175" width="12.21875" style="44" customWidth="1"/>
    <col min="7176" max="7177" width="12.77734375" style="44" customWidth="1"/>
    <col min="7178" max="7424" width="9.21875" style="44"/>
    <col min="7425" max="7425" width="2.77734375" style="44" customWidth="1"/>
    <col min="7426" max="7426" width="35.5546875" style="44" customWidth="1"/>
    <col min="7427" max="7428" width="13.77734375" style="44" customWidth="1"/>
    <col min="7429" max="7429" width="11.5546875" style="44" customWidth="1"/>
    <col min="7430" max="7430" width="12.44140625" style="44" customWidth="1"/>
    <col min="7431" max="7431" width="12.21875" style="44" customWidth="1"/>
    <col min="7432" max="7433" width="12.77734375" style="44" customWidth="1"/>
    <col min="7434" max="7680" width="9.21875" style="44"/>
    <col min="7681" max="7681" width="2.77734375" style="44" customWidth="1"/>
    <col min="7682" max="7682" width="35.5546875" style="44" customWidth="1"/>
    <col min="7683" max="7684" width="13.77734375" style="44" customWidth="1"/>
    <col min="7685" max="7685" width="11.5546875" style="44" customWidth="1"/>
    <col min="7686" max="7686" width="12.44140625" style="44" customWidth="1"/>
    <col min="7687" max="7687" width="12.21875" style="44" customWidth="1"/>
    <col min="7688" max="7689" width="12.77734375" style="44" customWidth="1"/>
    <col min="7690" max="7936" width="9.21875" style="44"/>
    <col min="7937" max="7937" width="2.77734375" style="44" customWidth="1"/>
    <col min="7938" max="7938" width="35.5546875" style="44" customWidth="1"/>
    <col min="7939" max="7940" width="13.77734375" style="44" customWidth="1"/>
    <col min="7941" max="7941" width="11.5546875" style="44" customWidth="1"/>
    <col min="7942" max="7942" width="12.44140625" style="44" customWidth="1"/>
    <col min="7943" max="7943" width="12.21875" style="44" customWidth="1"/>
    <col min="7944" max="7945" width="12.77734375" style="44" customWidth="1"/>
    <col min="7946" max="8192" width="9.21875" style="44"/>
    <col min="8193" max="8193" width="2.77734375" style="44" customWidth="1"/>
    <col min="8194" max="8194" width="35.5546875" style="44" customWidth="1"/>
    <col min="8195" max="8196" width="13.77734375" style="44" customWidth="1"/>
    <col min="8197" max="8197" width="11.5546875" style="44" customWidth="1"/>
    <col min="8198" max="8198" width="12.44140625" style="44" customWidth="1"/>
    <col min="8199" max="8199" width="12.21875" style="44" customWidth="1"/>
    <col min="8200" max="8201" width="12.77734375" style="44" customWidth="1"/>
    <col min="8202" max="8448" width="9.21875" style="44"/>
    <col min="8449" max="8449" width="2.77734375" style="44" customWidth="1"/>
    <col min="8450" max="8450" width="35.5546875" style="44" customWidth="1"/>
    <col min="8451" max="8452" width="13.77734375" style="44" customWidth="1"/>
    <col min="8453" max="8453" width="11.5546875" style="44" customWidth="1"/>
    <col min="8454" max="8454" width="12.44140625" style="44" customWidth="1"/>
    <col min="8455" max="8455" width="12.21875" style="44" customWidth="1"/>
    <col min="8456" max="8457" width="12.77734375" style="44" customWidth="1"/>
    <col min="8458" max="8704" width="9.21875" style="44"/>
    <col min="8705" max="8705" width="2.77734375" style="44" customWidth="1"/>
    <col min="8706" max="8706" width="35.5546875" style="44" customWidth="1"/>
    <col min="8707" max="8708" width="13.77734375" style="44" customWidth="1"/>
    <col min="8709" max="8709" width="11.5546875" style="44" customWidth="1"/>
    <col min="8710" max="8710" width="12.44140625" style="44" customWidth="1"/>
    <col min="8711" max="8711" width="12.21875" style="44" customWidth="1"/>
    <col min="8712" max="8713" width="12.77734375" style="44" customWidth="1"/>
    <col min="8714" max="8960" width="9.21875" style="44"/>
    <col min="8961" max="8961" width="2.77734375" style="44" customWidth="1"/>
    <col min="8962" max="8962" width="35.5546875" style="44" customWidth="1"/>
    <col min="8963" max="8964" width="13.77734375" style="44" customWidth="1"/>
    <col min="8965" max="8965" width="11.5546875" style="44" customWidth="1"/>
    <col min="8966" max="8966" width="12.44140625" style="44" customWidth="1"/>
    <col min="8967" max="8967" width="12.21875" style="44" customWidth="1"/>
    <col min="8968" max="8969" width="12.77734375" style="44" customWidth="1"/>
    <col min="8970" max="9216" width="9.21875" style="44"/>
    <col min="9217" max="9217" width="2.77734375" style="44" customWidth="1"/>
    <col min="9218" max="9218" width="35.5546875" style="44" customWidth="1"/>
    <col min="9219" max="9220" width="13.77734375" style="44" customWidth="1"/>
    <col min="9221" max="9221" width="11.5546875" style="44" customWidth="1"/>
    <col min="9222" max="9222" width="12.44140625" style="44" customWidth="1"/>
    <col min="9223" max="9223" width="12.21875" style="44" customWidth="1"/>
    <col min="9224" max="9225" width="12.77734375" style="44" customWidth="1"/>
    <col min="9226" max="9472" width="9.21875" style="44"/>
    <col min="9473" max="9473" width="2.77734375" style="44" customWidth="1"/>
    <col min="9474" max="9474" width="35.5546875" style="44" customWidth="1"/>
    <col min="9475" max="9476" width="13.77734375" style="44" customWidth="1"/>
    <col min="9477" max="9477" width="11.5546875" style="44" customWidth="1"/>
    <col min="9478" max="9478" width="12.44140625" style="44" customWidth="1"/>
    <col min="9479" max="9479" width="12.21875" style="44" customWidth="1"/>
    <col min="9480" max="9481" width="12.77734375" style="44" customWidth="1"/>
    <col min="9482" max="9728" width="9.21875" style="44"/>
    <col min="9729" max="9729" width="2.77734375" style="44" customWidth="1"/>
    <col min="9730" max="9730" width="35.5546875" style="44" customWidth="1"/>
    <col min="9731" max="9732" width="13.77734375" style="44" customWidth="1"/>
    <col min="9733" max="9733" width="11.5546875" style="44" customWidth="1"/>
    <col min="9734" max="9734" width="12.44140625" style="44" customWidth="1"/>
    <col min="9735" max="9735" width="12.21875" style="44" customWidth="1"/>
    <col min="9736" max="9737" width="12.77734375" style="44" customWidth="1"/>
    <col min="9738" max="9984" width="9.21875" style="44"/>
    <col min="9985" max="9985" width="2.77734375" style="44" customWidth="1"/>
    <col min="9986" max="9986" width="35.5546875" style="44" customWidth="1"/>
    <col min="9987" max="9988" width="13.77734375" style="44" customWidth="1"/>
    <col min="9989" max="9989" width="11.5546875" style="44" customWidth="1"/>
    <col min="9990" max="9990" width="12.44140625" style="44" customWidth="1"/>
    <col min="9991" max="9991" width="12.21875" style="44" customWidth="1"/>
    <col min="9992" max="9993" width="12.77734375" style="44" customWidth="1"/>
    <col min="9994" max="10240" width="9.21875" style="44"/>
    <col min="10241" max="10241" width="2.77734375" style="44" customWidth="1"/>
    <col min="10242" max="10242" width="35.5546875" style="44" customWidth="1"/>
    <col min="10243" max="10244" width="13.77734375" style="44" customWidth="1"/>
    <col min="10245" max="10245" width="11.5546875" style="44" customWidth="1"/>
    <col min="10246" max="10246" width="12.44140625" style="44" customWidth="1"/>
    <col min="10247" max="10247" width="12.21875" style="44" customWidth="1"/>
    <col min="10248" max="10249" width="12.77734375" style="44" customWidth="1"/>
    <col min="10250" max="10496" width="9.21875" style="44"/>
    <col min="10497" max="10497" width="2.77734375" style="44" customWidth="1"/>
    <col min="10498" max="10498" width="35.5546875" style="44" customWidth="1"/>
    <col min="10499" max="10500" width="13.77734375" style="44" customWidth="1"/>
    <col min="10501" max="10501" width="11.5546875" style="44" customWidth="1"/>
    <col min="10502" max="10502" width="12.44140625" style="44" customWidth="1"/>
    <col min="10503" max="10503" width="12.21875" style="44" customWidth="1"/>
    <col min="10504" max="10505" width="12.77734375" style="44" customWidth="1"/>
    <col min="10506" max="10752" width="9.21875" style="44"/>
    <col min="10753" max="10753" width="2.77734375" style="44" customWidth="1"/>
    <col min="10754" max="10754" width="35.5546875" style="44" customWidth="1"/>
    <col min="10755" max="10756" width="13.77734375" style="44" customWidth="1"/>
    <col min="10757" max="10757" width="11.5546875" style="44" customWidth="1"/>
    <col min="10758" max="10758" width="12.44140625" style="44" customWidth="1"/>
    <col min="10759" max="10759" width="12.21875" style="44" customWidth="1"/>
    <col min="10760" max="10761" width="12.77734375" style="44" customWidth="1"/>
    <col min="10762" max="11008" width="9.21875" style="44"/>
    <col min="11009" max="11009" width="2.77734375" style="44" customWidth="1"/>
    <col min="11010" max="11010" width="35.5546875" style="44" customWidth="1"/>
    <col min="11011" max="11012" width="13.77734375" style="44" customWidth="1"/>
    <col min="11013" max="11013" width="11.5546875" style="44" customWidth="1"/>
    <col min="11014" max="11014" width="12.44140625" style="44" customWidth="1"/>
    <col min="11015" max="11015" width="12.21875" style="44" customWidth="1"/>
    <col min="11016" max="11017" width="12.77734375" style="44" customWidth="1"/>
    <col min="11018" max="11264" width="9.21875" style="44"/>
    <col min="11265" max="11265" width="2.77734375" style="44" customWidth="1"/>
    <col min="11266" max="11266" width="35.5546875" style="44" customWidth="1"/>
    <col min="11267" max="11268" width="13.77734375" style="44" customWidth="1"/>
    <col min="11269" max="11269" width="11.5546875" style="44" customWidth="1"/>
    <col min="11270" max="11270" width="12.44140625" style="44" customWidth="1"/>
    <col min="11271" max="11271" width="12.21875" style="44" customWidth="1"/>
    <col min="11272" max="11273" width="12.77734375" style="44" customWidth="1"/>
    <col min="11274" max="11520" width="9.21875" style="44"/>
    <col min="11521" max="11521" width="2.77734375" style="44" customWidth="1"/>
    <col min="11522" max="11522" width="35.5546875" style="44" customWidth="1"/>
    <col min="11523" max="11524" width="13.77734375" style="44" customWidth="1"/>
    <col min="11525" max="11525" width="11.5546875" style="44" customWidth="1"/>
    <col min="11526" max="11526" width="12.44140625" style="44" customWidth="1"/>
    <col min="11527" max="11527" width="12.21875" style="44" customWidth="1"/>
    <col min="11528" max="11529" width="12.77734375" style="44" customWidth="1"/>
    <col min="11530" max="11776" width="9.21875" style="44"/>
    <col min="11777" max="11777" width="2.77734375" style="44" customWidth="1"/>
    <col min="11778" max="11778" width="35.5546875" style="44" customWidth="1"/>
    <col min="11779" max="11780" width="13.77734375" style="44" customWidth="1"/>
    <col min="11781" max="11781" width="11.5546875" style="44" customWidth="1"/>
    <col min="11782" max="11782" width="12.44140625" style="44" customWidth="1"/>
    <col min="11783" max="11783" width="12.21875" style="44" customWidth="1"/>
    <col min="11784" max="11785" width="12.77734375" style="44" customWidth="1"/>
    <col min="11786" max="12032" width="9.21875" style="44"/>
    <col min="12033" max="12033" width="2.77734375" style="44" customWidth="1"/>
    <col min="12034" max="12034" width="35.5546875" style="44" customWidth="1"/>
    <col min="12035" max="12036" width="13.77734375" style="44" customWidth="1"/>
    <col min="12037" max="12037" width="11.5546875" style="44" customWidth="1"/>
    <col min="12038" max="12038" width="12.44140625" style="44" customWidth="1"/>
    <col min="12039" max="12039" width="12.21875" style="44" customWidth="1"/>
    <col min="12040" max="12041" width="12.77734375" style="44" customWidth="1"/>
    <col min="12042" max="12288" width="9.21875" style="44"/>
    <col min="12289" max="12289" width="2.77734375" style="44" customWidth="1"/>
    <col min="12290" max="12290" width="35.5546875" style="44" customWidth="1"/>
    <col min="12291" max="12292" width="13.77734375" style="44" customWidth="1"/>
    <col min="12293" max="12293" width="11.5546875" style="44" customWidth="1"/>
    <col min="12294" max="12294" width="12.44140625" style="44" customWidth="1"/>
    <col min="12295" max="12295" width="12.21875" style="44" customWidth="1"/>
    <col min="12296" max="12297" width="12.77734375" style="44" customWidth="1"/>
    <col min="12298" max="12544" width="9.21875" style="44"/>
    <col min="12545" max="12545" width="2.77734375" style="44" customWidth="1"/>
    <col min="12546" max="12546" width="35.5546875" style="44" customWidth="1"/>
    <col min="12547" max="12548" width="13.77734375" style="44" customWidth="1"/>
    <col min="12549" max="12549" width="11.5546875" style="44" customWidth="1"/>
    <col min="12550" max="12550" width="12.44140625" style="44" customWidth="1"/>
    <col min="12551" max="12551" width="12.21875" style="44" customWidth="1"/>
    <col min="12552" max="12553" width="12.77734375" style="44" customWidth="1"/>
    <col min="12554" max="12800" width="9.21875" style="44"/>
    <col min="12801" max="12801" width="2.77734375" style="44" customWidth="1"/>
    <col min="12802" max="12802" width="35.5546875" style="44" customWidth="1"/>
    <col min="12803" max="12804" width="13.77734375" style="44" customWidth="1"/>
    <col min="12805" max="12805" width="11.5546875" style="44" customWidth="1"/>
    <col min="12806" max="12806" width="12.44140625" style="44" customWidth="1"/>
    <col min="12807" max="12807" width="12.21875" style="44" customWidth="1"/>
    <col min="12808" max="12809" width="12.77734375" style="44" customWidth="1"/>
    <col min="12810" max="13056" width="9.21875" style="44"/>
    <col min="13057" max="13057" width="2.77734375" style="44" customWidth="1"/>
    <col min="13058" max="13058" width="35.5546875" style="44" customWidth="1"/>
    <col min="13059" max="13060" width="13.77734375" style="44" customWidth="1"/>
    <col min="13061" max="13061" width="11.5546875" style="44" customWidth="1"/>
    <col min="13062" max="13062" width="12.44140625" style="44" customWidth="1"/>
    <col min="13063" max="13063" width="12.21875" style="44" customWidth="1"/>
    <col min="13064" max="13065" width="12.77734375" style="44" customWidth="1"/>
    <col min="13066" max="13312" width="9.21875" style="44"/>
    <col min="13313" max="13313" width="2.77734375" style="44" customWidth="1"/>
    <col min="13314" max="13314" width="35.5546875" style="44" customWidth="1"/>
    <col min="13315" max="13316" width="13.77734375" style="44" customWidth="1"/>
    <col min="13317" max="13317" width="11.5546875" style="44" customWidth="1"/>
    <col min="13318" max="13318" width="12.44140625" style="44" customWidth="1"/>
    <col min="13319" max="13319" width="12.21875" style="44" customWidth="1"/>
    <col min="13320" max="13321" width="12.77734375" style="44" customWidth="1"/>
    <col min="13322" max="13568" width="9.21875" style="44"/>
    <col min="13569" max="13569" width="2.77734375" style="44" customWidth="1"/>
    <col min="13570" max="13570" width="35.5546875" style="44" customWidth="1"/>
    <col min="13571" max="13572" width="13.77734375" style="44" customWidth="1"/>
    <col min="13573" max="13573" width="11.5546875" style="44" customWidth="1"/>
    <col min="13574" max="13574" width="12.44140625" style="44" customWidth="1"/>
    <col min="13575" max="13575" width="12.21875" style="44" customWidth="1"/>
    <col min="13576" max="13577" width="12.77734375" style="44" customWidth="1"/>
    <col min="13578" max="13824" width="9.21875" style="44"/>
    <col min="13825" max="13825" width="2.77734375" style="44" customWidth="1"/>
    <col min="13826" max="13826" width="35.5546875" style="44" customWidth="1"/>
    <col min="13827" max="13828" width="13.77734375" style="44" customWidth="1"/>
    <col min="13829" max="13829" width="11.5546875" style="44" customWidth="1"/>
    <col min="13830" max="13830" width="12.44140625" style="44" customWidth="1"/>
    <col min="13831" max="13831" width="12.21875" style="44" customWidth="1"/>
    <col min="13832" max="13833" width="12.77734375" style="44" customWidth="1"/>
    <col min="13834" max="14080" width="9.21875" style="44"/>
    <col min="14081" max="14081" width="2.77734375" style="44" customWidth="1"/>
    <col min="14082" max="14082" width="35.5546875" style="44" customWidth="1"/>
    <col min="14083" max="14084" width="13.77734375" style="44" customWidth="1"/>
    <col min="14085" max="14085" width="11.5546875" style="44" customWidth="1"/>
    <col min="14086" max="14086" width="12.44140625" style="44" customWidth="1"/>
    <col min="14087" max="14087" width="12.21875" style="44" customWidth="1"/>
    <col min="14088" max="14089" width="12.77734375" style="44" customWidth="1"/>
    <col min="14090" max="14336" width="9.21875" style="44"/>
    <col min="14337" max="14337" width="2.77734375" style="44" customWidth="1"/>
    <col min="14338" max="14338" width="35.5546875" style="44" customWidth="1"/>
    <col min="14339" max="14340" width="13.77734375" style="44" customWidth="1"/>
    <col min="14341" max="14341" width="11.5546875" style="44" customWidth="1"/>
    <col min="14342" max="14342" width="12.44140625" style="44" customWidth="1"/>
    <col min="14343" max="14343" width="12.21875" style="44" customWidth="1"/>
    <col min="14344" max="14345" width="12.77734375" style="44" customWidth="1"/>
    <col min="14346" max="14592" width="9.21875" style="44"/>
    <col min="14593" max="14593" width="2.77734375" style="44" customWidth="1"/>
    <col min="14594" max="14594" width="35.5546875" style="44" customWidth="1"/>
    <col min="14595" max="14596" width="13.77734375" style="44" customWidth="1"/>
    <col min="14597" max="14597" width="11.5546875" style="44" customWidth="1"/>
    <col min="14598" max="14598" width="12.44140625" style="44" customWidth="1"/>
    <col min="14599" max="14599" width="12.21875" style="44" customWidth="1"/>
    <col min="14600" max="14601" width="12.77734375" style="44" customWidth="1"/>
    <col min="14602" max="14848" width="9.21875" style="44"/>
    <col min="14849" max="14849" width="2.77734375" style="44" customWidth="1"/>
    <col min="14850" max="14850" width="35.5546875" style="44" customWidth="1"/>
    <col min="14851" max="14852" width="13.77734375" style="44" customWidth="1"/>
    <col min="14853" max="14853" width="11.5546875" style="44" customWidth="1"/>
    <col min="14854" max="14854" width="12.44140625" style="44" customWidth="1"/>
    <col min="14855" max="14855" width="12.21875" style="44" customWidth="1"/>
    <col min="14856" max="14857" width="12.77734375" style="44" customWidth="1"/>
    <col min="14858" max="15104" width="9.21875" style="44"/>
    <col min="15105" max="15105" width="2.77734375" style="44" customWidth="1"/>
    <col min="15106" max="15106" width="35.5546875" style="44" customWidth="1"/>
    <col min="15107" max="15108" width="13.77734375" style="44" customWidth="1"/>
    <col min="15109" max="15109" width="11.5546875" style="44" customWidth="1"/>
    <col min="15110" max="15110" width="12.44140625" style="44" customWidth="1"/>
    <col min="15111" max="15111" width="12.21875" style="44" customWidth="1"/>
    <col min="15112" max="15113" width="12.77734375" style="44" customWidth="1"/>
    <col min="15114" max="15360" width="9.21875" style="44"/>
    <col min="15361" max="15361" width="2.77734375" style="44" customWidth="1"/>
    <col min="15362" max="15362" width="35.5546875" style="44" customWidth="1"/>
    <col min="15363" max="15364" width="13.77734375" style="44" customWidth="1"/>
    <col min="15365" max="15365" width="11.5546875" style="44" customWidth="1"/>
    <col min="15366" max="15366" width="12.44140625" style="44" customWidth="1"/>
    <col min="15367" max="15367" width="12.21875" style="44" customWidth="1"/>
    <col min="15368" max="15369" width="12.77734375" style="44" customWidth="1"/>
    <col min="15370" max="15616" width="9.21875" style="44"/>
    <col min="15617" max="15617" width="2.77734375" style="44" customWidth="1"/>
    <col min="15618" max="15618" width="35.5546875" style="44" customWidth="1"/>
    <col min="15619" max="15620" width="13.77734375" style="44" customWidth="1"/>
    <col min="15621" max="15621" width="11.5546875" style="44" customWidth="1"/>
    <col min="15622" max="15622" width="12.44140625" style="44" customWidth="1"/>
    <col min="15623" max="15623" width="12.21875" style="44" customWidth="1"/>
    <col min="15624" max="15625" width="12.77734375" style="44" customWidth="1"/>
    <col min="15626" max="15872" width="9.21875" style="44"/>
    <col min="15873" max="15873" width="2.77734375" style="44" customWidth="1"/>
    <col min="15874" max="15874" width="35.5546875" style="44" customWidth="1"/>
    <col min="15875" max="15876" width="13.77734375" style="44" customWidth="1"/>
    <col min="15877" max="15877" width="11.5546875" style="44" customWidth="1"/>
    <col min="15878" max="15878" width="12.44140625" style="44" customWidth="1"/>
    <col min="15879" max="15879" width="12.21875" style="44" customWidth="1"/>
    <col min="15880" max="15881" width="12.77734375" style="44" customWidth="1"/>
    <col min="15882" max="16128" width="9.21875" style="44"/>
    <col min="16129" max="16129" width="2.77734375" style="44" customWidth="1"/>
    <col min="16130" max="16130" width="35.5546875" style="44" customWidth="1"/>
    <col min="16131" max="16132" width="13.77734375" style="44" customWidth="1"/>
    <col min="16133" max="16133" width="11.5546875" style="44" customWidth="1"/>
    <col min="16134" max="16134" width="12.44140625" style="44" customWidth="1"/>
    <col min="16135" max="16135" width="12.21875" style="44" customWidth="1"/>
    <col min="16136" max="16137" width="12.77734375" style="44" customWidth="1"/>
    <col min="16138" max="16384" width="9.21875" style="44"/>
  </cols>
  <sheetData>
    <row r="1" spans="2:9" x14ac:dyDescent="0.2">
      <c r="B1" s="180"/>
    </row>
    <row r="3" spans="2:9" ht="13.2" x14ac:dyDescent="0.25">
      <c r="B3" s="412" t="s">
        <v>974</v>
      </c>
    </row>
    <row r="4" spans="2:9" x14ac:dyDescent="0.2">
      <c r="C4" s="662"/>
      <c r="D4" s="662"/>
      <c r="E4" s="662"/>
    </row>
    <row r="5" spans="2:9" ht="22.5" customHeight="1" x14ac:dyDescent="0.2">
      <c r="B5" s="676" t="s">
        <v>843</v>
      </c>
      <c r="C5" s="676"/>
      <c r="D5" s="437"/>
      <c r="E5" s="437"/>
    </row>
    <row r="7" spans="2:9" ht="48.75" customHeight="1" x14ac:dyDescent="0.2">
      <c r="B7" s="146" t="s">
        <v>296</v>
      </c>
      <c r="C7" s="436" t="s">
        <v>75</v>
      </c>
      <c r="D7" s="436" t="s">
        <v>76</v>
      </c>
      <c r="E7" s="436" t="s">
        <v>498</v>
      </c>
      <c r="F7" s="73" t="s">
        <v>295</v>
      </c>
      <c r="G7" s="436" t="s">
        <v>77</v>
      </c>
      <c r="H7" s="436" t="s">
        <v>78</v>
      </c>
      <c r="I7" s="103" t="s">
        <v>292</v>
      </c>
    </row>
    <row r="8" spans="2:9" x14ac:dyDescent="0.2">
      <c r="B8" s="381" t="s">
        <v>685</v>
      </c>
      <c r="C8" s="384" t="s">
        <v>686</v>
      </c>
      <c r="D8" s="384"/>
      <c r="E8" s="164">
        <v>2000000</v>
      </c>
      <c r="F8" s="438">
        <v>0.1</v>
      </c>
      <c r="G8" s="164">
        <f t="shared" ref="G8:G11" si="0">E8*F8</f>
        <v>200000</v>
      </c>
      <c r="H8" s="209"/>
      <c r="I8" s="327"/>
    </row>
    <row r="9" spans="2:9" x14ac:dyDescent="0.2">
      <c r="B9" s="381" t="s">
        <v>687</v>
      </c>
      <c r="C9" s="384" t="s">
        <v>686</v>
      </c>
      <c r="D9" s="439"/>
      <c r="E9" s="164">
        <v>215500</v>
      </c>
      <c r="F9" s="438">
        <v>0.1</v>
      </c>
      <c r="G9" s="164">
        <f t="shared" si="0"/>
        <v>21550</v>
      </c>
      <c r="H9" s="209"/>
      <c r="I9" s="327"/>
    </row>
    <row r="10" spans="2:9" x14ac:dyDescent="0.2">
      <c r="B10" s="381" t="s">
        <v>752</v>
      </c>
      <c r="C10" s="384" t="s">
        <v>686</v>
      </c>
      <c r="D10" s="439"/>
      <c r="E10" s="164">
        <v>31741</v>
      </c>
      <c r="F10" s="438">
        <v>0.1</v>
      </c>
      <c r="G10" s="164">
        <f t="shared" si="0"/>
        <v>3174.1000000000004</v>
      </c>
      <c r="H10" s="209"/>
      <c r="I10" s="327"/>
    </row>
    <row r="11" spans="2:9" x14ac:dyDescent="0.2">
      <c r="B11" s="381" t="s">
        <v>753</v>
      </c>
      <c r="C11" s="384" t="s">
        <v>686</v>
      </c>
      <c r="D11" s="439"/>
      <c r="E11" s="164">
        <v>44310</v>
      </c>
      <c r="F11" s="438">
        <v>0.1</v>
      </c>
      <c r="G11" s="164">
        <f t="shared" si="0"/>
        <v>4431</v>
      </c>
      <c r="H11" s="209"/>
      <c r="I11" s="327"/>
    </row>
    <row r="12" spans="2:9" x14ac:dyDescent="0.2">
      <c r="C12" s="10"/>
      <c r="D12" s="147"/>
      <c r="E12" s="152"/>
      <c r="G12" s="322"/>
      <c r="H12" s="10"/>
    </row>
    <row r="13" spans="2:9" x14ac:dyDescent="0.2">
      <c r="B13" s="7"/>
      <c r="C13" s="7"/>
      <c r="D13" s="7"/>
      <c r="E13" s="7"/>
      <c r="F13" s="7"/>
      <c r="G13" s="10"/>
    </row>
    <row r="14" spans="2:9" x14ac:dyDescent="0.2">
      <c r="B14" s="11" t="s">
        <v>215</v>
      </c>
      <c r="C14" s="11"/>
      <c r="D14" s="11"/>
      <c r="E14" s="11"/>
      <c r="F14" s="11"/>
    </row>
    <row r="15" spans="2:9" x14ac:dyDescent="0.2">
      <c r="B15" s="11"/>
      <c r="C15" s="11"/>
      <c r="D15" s="11"/>
      <c r="E15" s="11"/>
      <c r="F15" s="11"/>
    </row>
    <row r="16" spans="2:9" ht="20.399999999999999" x14ac:dyDescent="0.2">
      <c r="B16" s="146" t="s">
        <v>74</v>
      </c>
      <c r="C16" s="436" t="s">
        <v>498</v>
      </c>
      <c r="D16" s="436" t="s">
        <v>79</v>
      </c>
      <c r="E16" s="436" t="s">
        <v>80</v>
      </c>
      <c r="F16" s="436" t="s">
        <v>81</v>
      </c>
    </row>
    <row r="17" spans="2:9" x14ac:dyDescent="0.2">
      <c r="B17" s="579" t="s">
        <v>902</v>
      </c>
      <c r="C17" s="580">
        <v>1499720</v>
      </c>
      <c r="D17" s="581">
        <f>C17/$C$23</f>
        <v>0.65445630492186302</v>
      </c>
      <c r="E17" s="580">
        <v>1499720</v>
      </c>
      <c r="F17" s="581">
        <f>E17/$C$23</f>
        <v>0.65445630492186302</v>
      </c>
    </row>
    <row r="18" spans="2:9" x14ac:dyDescent="0.2">
      <c r="B18" s="579" t="s">
        <v>674</v>
      </c>
      <c r="C18" s="580">
        <v>562401</v>
      </c>
      <c r="D18" s="581">
        <f t="shared" ref="D18:D22" si="1">C18/$C$23</f>
        <v>0.24542373265967024</v>
      </c>
      <c r="E18" s="580">
        <v>562401</v>
      </c>
      <c r="F18" s="581">
        <f t="shared" ref="F18:F19" si="2">E18/$C$23</f>
        <v>0.24542373265967024</v>
      </c>
    </row>
    <row r="19" spans="2:9" x14ac:dyDescent="0.2">
      <c r="B19" s="579" t="s">
        <v>73</v>
      </c>
      <c r="C19" s="580">
        <v>229430</v>
      </c>
      <c r="D19" s="581">
        <f t="shared" si="1"/>
        <v>0.1001199624184668</v>
      </c>
      <c r="E19" s="580">
        <v>229430</v>
      </c>
      <c r="F19" s="581">
        <f t="shared" si="2"/>
        <v>0.1001199624184668</v>
      </c>
    </row>
    <row r="20" spans="2:9" hidden="1" x14ac:dyDescent="0.2">
      <c r="B20" s="381"/>
      <c r="C20" s="164"/>
      <c r="D20" s="581">
        <f t="shared" si="1"/>
        <v>0</v>
      </c>
      <c r="E20" s="164"/>
      <c r="F20" s="507"/>
    </row>
    <row r="21" spans="2:9" hidden="1" x14ac:dyDescent="0.2">
      <c r="B21" s="381"/>
      <c r="C21" s="164"/>
      <c r="D21" s="581">
        <f t="shared" si="1"/>
        <v>0</v>
      </c>
      <c r="E21" s="164"/>
      <c r="F21" s="507"/>
    </row>
    <row r="22" spans="2:9" hidden="1" x14ac:dyDescent="0.2">
      <c r="B22" s="381"/>
      <c r="C22" s="164"/>
      <c r="D22" s="581">
        <f t="shared" si="1"/>
        <v>0</v>
      </c>
      <c r="E22" s="164"/>
      <c r="F22" s="507"/>
    </row>
    <row r="23" spans="2:9" x14ac:dyDescent="0.2">
      <c r="B23" s="53" t="s">
        <v>28</v>
      </c>
      <c r="C23" s="92">
        <f>SUM(C17:C22)</f>
        <v>2291551</v>
      </c>
      <c r="D23" s="500">
        <f>SUM(D17:D22)</f>
        <v>1</v>
      </c>
      <c r="E23" s="92">
        <f>SUM(E17:E22)</f>
        <v>2291551</v>
      </c>
      <c r="F23" s="500">
        <f>SUM(F17:F22)</f>
        <v>1</v>
      </c>
    </row>
    <row r="24" spans="2:9" x14ac:dyDescent="0.2">
      <c r="B24" s="9" t="s">
        <v>795</v>
      </c>
      <c r="C24" s="437"/>
      <c r="D24" s="437"/>
      <c r="E24" s="437"/>
    </row>
    <row r="26" spans="2:9" ht="48.75" customHeight="1" x14ac:dyDescent="0.2">
      <c r="B26" s="146" t="s">
        <v>296</v>
      </c>
      <c r="C26" s="436" t="s">
        <v>75</v>
      </c>
      <c r="D26" s="436" t="s">
        <v>76</v>
      </c>
      <c r="E26" s="436" t="s">
        <v>498</v>
      </c>
      <c r="F26" s="73" t="s">
        <v>295</v>
      </c>
      <c r="G26" s="436" t="s">
        <v>77</v>
      </c>
      <c r="H26" s="436" t="s">
        <v>78</v>
      </c>
      <c r="I26" s="103" t="s">
        <v>292</v>
      </c>
    </row>
    <row r="27" spans="2:9" x14ac:dyDescent="0.2">
      <c r="B27" s="381" t="s">
        <v>685</v>
      </c>
      <c r="C27" s="384" t="s">
        <v>686</v>
      </c>
      <c r="D27" s="384"/>
      <c r="E27" s="164">
        <v>2000000</v>
      </c>
      <c r="F27" s="438">
        <v>0.1</v>
      </c>
      <c r="G27" s="164">
        <f t="shared" ref="G27:G32" si="3">E27*F27</f>
        <v>200000</v>
      </c>
      <c r="H27" s="209"/>
      <c r="I27" s="327"/>
    </row>
    <row r="28" spans="2:9" x14ac:dyDescent="0.2">
      <c r="B28" s="381" t="s">
        <v>687</v>
      </c>
      <c r="C28" s="384" t="s">
        <v>686</v>
      </c>
      <c r="D28" s="439"/>
      <c r="E28" s="164">
        <v>215500</v>
      </c>
      <c r="F28" s="438">
        <v>0.1</v>
      </c>
      <c r="G28" s="164">
        <f t="shared" si="3"/>
        <v>21550</v>
      </c>
      <c r="H28" s="209"/>
      <c r="I28" s="327"/>
    </row>
    <row r="29" spans="2:9" x14ac:dyDescent="0.2">
      <c r="B29" s="381" t="s">
        <v>752</v>
      </c>
      <c r="C29" s="384" t="s">
        <v>686</v>
      </c>
      <c r="D29" s="439"/>
      <c r="E29" s="164">
        <v>31741</v>
      </c>
      <c r="F29" s="438">
        <v>0.1</v>
      </c>
      <c r="G29" s="164">
        <f t="shared" si="3"/>
        <v>3174.1000000000004</v>
      </c>
      <c r="H29" s="209"/>
      <c r="I29" s="327"/>
    </row>
    <row r="30" spans="2:9" x14ac:dyDescent="0.2">
      <c r="B30" s="381" t="s">
        <v>753</v>
      </c>
      <c r="C30" s="384" t="s">
        <v>686</v>
      </c>
      <c r="D30" s="439"/>
      <c r="E30" s="164">
        <v>44310</v>
      </c>
      <c r="F30" s="438">
        <v>0.1</v>
      </c>
      <c r="G30" s="164">
        <f t="shared" si="3"/>
        <v>4431</v>
      </c>
      <c r="H30" s="209"/>
      <c r="I30" s="327"/>
    </row>
    <row r="31" spans="2:9" hidden="1" x14ac:dyDescent="0.2">
      <c r="B31" s="381"/>
      <c r="C31" s="384"/>
      <c r="D31" s="439"/>
      <c r="E31" s="164"/>
      <c r="F31" s="209"/>
      <c r="G31" s="164">
        <f t="shared" si="3"/>
        <v>0</v>
      </c>
      <c r="H31" s="209"/>
      <c r="I31" s="327"/>
    </row>
    <row r="32" spans="2:9" hidden="1" x14ac:dyDescent="0.2">
      <c r="B32" s="381"/>
      <c r="C32" s="384"/>
      <c r="D32" s="439"/>
      <c r="E32" s="164"/>
      <c r="F32" s="209"/>
      <c r="G32" s="164">
        <f t="shared" si="3"/>
        <v>0</v>
      </c>
      <c r="H32" s="209"/>
      <c r="I32" s="327"/>
    </row>
    <row r="33" spans="2:8" x14ac:dyDescent="0.2">
      <c r="C33" s="10"/>
      <c r="D33" s="147"/>
      <c r="E33" s="152"/>
      <c r="G33" s="322"/>
      <c r="H33" s="10"/>
    </row>
    <row r="34" spans="2:8" x14ac:dyDescent="0.2">
      <c r="B34" s="7"/>
      <c r="C34" s="7"/>
      <c r="D34" s="7"/>
      <c r="E34" s="7"/>
      <c r="F34" s="7"/>
      <c r="G34" s="10"/>
    </row>
    <row r="35" spans="2:8" x14ac:dyDescent="0.2">
      <c r="B35" s="11" t="s">
        <v>215</v>
      </c>
      <c r="C35" s="11"/>
      <c r="D35" s="11"/>
      <c r="E35" s="11"/>
      <c r="F35" s="11"/>
    </row>
    <row r="36" spans="2:8" x14ac:dyDescent="0.2">
      <c r="B36" s="11"/>
      <c r="C36" s="11"/>
      <c r="D36" s="11"/>
      <c r="E36" s="11"/>
      <c r="F36" s="11"/>
    </row>
    <row r="37" spans="2:8" ht="20.399999999999999" x14ac:dyDescent="0.2">
      <c r="B37" s="146" t="s">
        <v>74</v>
      </c>
      <c r="C37" s="436" t="s">
        <v>498</v>
      </c>
      <c r="D37" s="436" t="s">
        <v>79</v>
      </c>
      <c r="E37" s="436" t="s">
        <v>80</v>
      </c>
      <c r="F37" s="436" t="s">
        <v>81</v>
      </c>
    </row>
    <row r="38" spans="2:8" x14ac:dyDescent="0.2">
      <c r="B38" s="381" t="s">
        <v>688</v>
      </c>
      <c r="C38" s="164">
        <v>801544</v>
      </c>
      <c r="D38" s="507">
        <v>0.3498</v>
      </c>
      <c r="E38" s="164">
        <v>801544</v>
      </c>
      <c r="F38" s="507">
        <v>0.3498</v>
      </c>
    </row>
    <row r="39" spans="2:8" x14ac:dyDescent="0.2">
      <c r="B39" s="381" t="s">
        <v>674</v>
      </c>
      <c r="C39" s="164">
        <v>595530</v>
      </c>
      <c r="D39" s="507">
        <f>C39/C44</f>
        <v>0.25988075325401877</v>
      </c>
      <c r="E39" s="164">
        <v>595530</v>
      </c>
      <c r="F39" s="507">
        <f>E39/E44</f>
        <v>0.25988075325401877</v>
      </c>
    </row>
    <row r="40" spans="2:8" x14ac:dyDescent="0.2">
      <c r="B40" s="381" t="s">
        <v>810</v>
      </c>
      <c r="C40" s="164">
        <v>240719</v>
      </c>
      <c r="D40" s="507">
        <v>0.105</v>
      </c>
      <c r="E40" s="164">
        <v>240719</v>
      </c>
      <c r="F40" s="507">
        <v>0.105</v>
      </c>
    </row>
    <row r="41" spans="2:8" x14ac:dyDescent="0.2">
      <c r="B41" s="381" t="s">
        <v>675</v>
      </c>
      <c r="C41" s="164">
        <v>135200</v>
      </c>
      <c r="D41" s="507">
        <v>5.8999999999999997E-2</v>
      </c>
      <c r="E41" s="164">
        <v>135200</v>
      </c>
      <c r="F41" s="507">
        <v>5.8999999999999997E-2</v>
      </c>
    </row>
    <row r="42" spans="2:8" x14ac:dyDescent="0.2">
      <c r="B42" s="381" t="s">
        <v>689</v>
      </c>
      <c r="C42" s="164">
        <v>122138</v>
      </c>
      <c r="D42" s="507">
        <v>5.33E-2</v>
      </c>
      <c r="E42" s="164">
        <v>122138</v>
      </c>
      <c r="F42" s="507">
        <v>5.33E-2</v>
      </c>
    </row>
    <row r="43" spans="2:8" x14ac:dyDescent="0.2">
      <c r="B43" s="381" t="s">
        <v>73</v>
      </c>
      <c r="C43" s="164">
        <v>396420</v>
      </c>
      <c r="D43" s="507">
        <f>C43/C44</f>
        <v>0.17299200410551629</v>
      </c>
      <c r="E43" s="164">
        <v>396420</v>
      </c>
      <c r="F43" s="507">
        <f>E43/E44</f>
        <v>0.17299200410551629</v>
      </c>
    </row>
    <row r="44" spans="2:8" x14ac:dyDescent="0.2">
      <c r="B44" s="53" t="s">
        <v>28</v>
      </c>
      <c r="C44" s="92">
        <f>SUM(C38:C43)</f>
        <v>2291551</v>
      </c>
      <c r="D44" s="499">
        <f>C44/$C$44</f>
        <v>1</v>
      </c>
      <c r="E44" s="92">
        <f>SUM(E38:E43)</f>
        <v>2291551</v>
      </c>
      <c r="F44" s="499">
        <f>E44/$E$44</f>
        <v>1</v>
      </c>
    </row>
    <row r="46" spans="2:8" x14ac:dyDescent="0.2">
      <c r="B46" s="52" t="s">
        <v>216</v>
      </c>
    </row>
    <row r="48" spans="2:8" ht="20.399999999999999" x14ac:dyDescent="0.2">
      <c r="B48" s="501" t="s">
        <v>353</v>
      </c>
      <c r="C48" s="502" t="str">
        <f>'Dane podstawowe'!B7</f>
        <v>01.01.2018-31.12.2018</v>
      </c>
      <c r="D48" s="502" t="str">
        <f>'Dane podstawowe'!B12</f>
        <v>01.01.2017-31.12.2017</v>
      </c>
    </row>
    <row r="49" spans="2:5" x14ac:dyDescent="0.2">
      <c r="B49" s="57" t="s">
        <v>217</v>
      </c>
      <c r="C49" s="131">
        <f>D57</f>
        <v>229155</v>
      </c>
      <c r="D49" s="131">
        <v>229155</v>
      </c>
    </row>
    <row r="50" spans="2:5" s="89" customFormat="1" x14ac:dyDescent="0.2">
      <c r="B50" s="166" t="s">
        <v>924</v>
      </c>
      <c r="C50" s="238">
        <f>SUM(C51:C52)</f>
        <v>0</v>
      </c>
      <c r="D50" s="238">
        <f>SUM(D51:D52)</f>
        <v>0</v>
      </c>
    </row>
    <row r="51" spans="2:5" hidden="1" x14ac:dyDescent="0.2">
      <c r="B51" s="328" t="s">
        <v>754</v>
      </c>
      <c r="C51" s="164">
        <v>0</v>
      </c>
      <c r="D51" s="164"/>
    </row>
    <row r="52" spans="2:5" hidden="1" x14ac:dyDescent="0.2">
      <c r="B52" s="328" t="s">
        <v>755</v>
      </c>
      <c r="C52" s="164">
        <v>0</v>
      </c>
      <c r="D52" s="164"/>
    </row>
    <row r="53" spans="2:5" s="89" customFormat="1" x14ac:dyDescent="0.2">
      <c r="B53" s="166" t="s">
        <v>925</v>
      </c>
      <c r="C53" s="238">
        <f>SUM(C54:C55)</f>
        <v>0</v>
      </c>
      <c r="D53" s="238">
        <f>SUM(D54:D55)</f>
        <v>0</v>
      </c>
    </row>
    <row r="54" spans="2:5" hidden="1" x14ac:dyDescent="0.2">
      <c r="B54" s="145" t="s">
        <v>294</v>
      </c>
      <c r="C54" s="164"/>
      <c r="D54" s="164"/>
    </row>
    <row r="55" spans="2:5" hidden="1" x14ac:dyDescent="0.2">
      <c r="B55" s="145" t="s">
        <v>294</v>
      </c>
      <c r="C55" s="164"/>
      <c r="D55" s="164"/>
    </row>
    <row r="56" spans="2:5" hidden="1" x14ac:dyDescent="0.2">
      <c r="B56" s="212" t="s">
        <v>293</v>
      </c>
      <c r="C56" s="235"/>
      <c r="D56" s="235"/>
    </row>
    <row r="57" spans="2:5" x14ac:dyDescent="0.2">
      <c r="B57" s="63" t="s">
        <v>218</v>
      </c>
      <c r="C57" s="169">
        <f>SUM(C49:C50,-C53)</f>
        <v>229155</v>
      </c>
      <c r="D57" s="169">
        <f>SUM(D49:D50,-D53)</f>
        <v>229155</v>
      </c>
    </row>
    <row r="58" spans="2:5" x14ac:dyDescent="0.2">
      <c r="C58" s="383">
        <f>[7]Pasywa!D5-'[7]NOTA  29,30,31,32- Kapitały'!C78</f>
        <v>0</v>
      </c>
      <c r="D58" s="383">
        <f>[7]Pasywa!E5-'[7]NOTA  29,30,31,32- Kapitały'!D78</f>
        <v>0</v>
      </c>
    </row>
    <row r="60" spans="2:5" x14ac:dyDescent="0.2">
      <c r="E60" s="437"/>
    </row>
    <row r="61" spans="2:5" ht="13.2" x14ac:dyDescent="0.25">
      <c r="B61" s="412" t="s">
        <v>975</v>
      </c>
      <c r="E61" s="437"/>
    </row>
    <row r="62" spans="2:5" x14ac:dyDescent="0.2">
      <c r="B62" s="52"/>
      <c r="E62" s="437"/>
    </row>
    <row r="63" spans="2:5" x14ac:dyDescent="0.2">
      <c r="B63" s="148"/>
      <c r="C63" s="461">
        <f>'Dane podstawowe'!B9</f>
        <v>43465</v>
      </c>
      <c r="D63" s="461">
        <f>'Dane podstawowe'!B14</f>
        <v>43100</v>
      </c>
    </row>
    <row r="64" spans="2:5" x14ac:dyDescent="0.2">
      <c r="B64" s="46" t="s">
        <v>4</v>
      </c>
      <c r="C64" s="78">
        <v>9915597</v>
      </c>
      <c r="D64" s="78">
        <v>11405663</v>
      </c>
    </row>
    <row r="65" spans="2:7" x14ac:dyDescent="0.2">
      <c r="B65" s="113" t="s">
        <v>297</v>
      </c>
      <c r="C65" s="78">
        <v>9105011</v>
      </c>
      <c r="D65" s="78">
        <v>9105011</v>
      </c>
    </row>
    <row r="66" spans="2:7" x14ac:dyDescent="0.2">
      <c r="B66" s="113" t="s">
        <v>298</v>
      </c>
      <c r="C66" s="78">
        <v>5051178</v>
      </c>
      <c r="D66" s="78">
        <v>738930</v>
      </c>
    </row>
    <row r="67" spans="2:7" x14ac:dyDescent="0.2">
      <c r="B67" s="113" t="s">
        <v>194</v>
      </c>
      <c r="C67" s="78">
        <v>0</v>
      </c>
      <c r="D67" s="78">
        <v>0</v>
      </c>
    </row>
    <row r="68" spans="2:7" x14ac:dyDescent="0.2">
      <c r="B68" s="40" t="s">
        <v>554</v>
      </c>
      <c r="C68" s="45">
        <f>SUM(C64:C67)</f>
        <v>24071786</v>
      </c>
      <c r="D68" s="45">
        <f>SUM(D64:D67)</f>
        <v>21249604</v>
      </c>
    </row>
    <row r="69" spans="2:7" x14ac:dyDescent="0.2">
      <c r="B69" s="54"/>
      <c r="C69" s="396"/>
      <c r="D69" s="396"/>
      <c r="E69" s="437"/>
    </row>
    <row r="70" spans="2:7" ht="10.5" customHeight="1" x14ac:dyDescent="0.2"/>
    <row r="71" spans="2:7" x14ac:dyDescent="0.2">
      <c r="B71" s="110" t="s">
        <v>306</v>
      </c>
    </row>
    <row r="73" spans="2:7" ht="30.6" x14ac:dyDescent="0.2">
      <c r="B73" s="73" t="s">
        <v>353</v>
      </c>
      <c r="C73" s="73" t="s">
        <v>4</v>
      </c>
      <c r="D73" s="73" t="s">
        <v>297</v>
      </c>
      <c r="E73" s="73" t="s">
        <v>299</v>
      </c>
      <c r="F73" s="73" t="s">
        <v>119</v>
      </c>
      <c r="G73" s="73" t="s">
        <v>28</v>
      </c>
    </row>
    <row r="74" spans="2:7" x14ac:dyDescent="0.2">
      <c r="B74" s="470">
        <v>43101</v>
      </c>
      <c r="C74" s="131">
        <f>C115</f>
        <v>11405663</v>
      </c>
      <c r="D74" s="131">
        <f>D115</f>
        <v>9105011</v>
      </c>
      <c r="E74" s="131">
        <f>E115</f>
        <v>738930</v>
      </c>
      <c r="F74" s="131">
        <f>F115</f>
        <v>0</v>
      </c>
      <c r="G74" s="131">
        <f>SUM(C74:F74)</f>
        <v>21249604</v>
      </c>
    </row>
    <row r="75" spans="2:7" s="89" customFormat="1" x14ac:dyDescent="0.2">
      <c r="B75" s="166" t="s">
        <v>304</v>
      </c>
      <c r="C75" s="238">
        <f>SUM(C76:C83)</f>
        <v>3882513</v>
      </c>
      <c r="D75" s="238">
        <f>SUM(D76:D82)</f>
        <v>0</v>
      </c>
      <c r="E75" s="238">
        <f>SUM(E76:E82)</f>
        <v>4312248</v>
      </c>
      <c r="F75" s="238">
        <f>SUM(F76:F82)</f>
        <v>0</v>
      </c>
      <c r="G75" s="131">
        <f t="shared" ref="G75:G115" si="4">SUM(C75:F75)</f>
        <v>8194761</v>
      </c>
    </row>
    <row r="76" spans="2:7" x14ac:dyDescent="0.2">
      <c r="B76" s="91" t="s">
        <v>913</v>
      </c>
      <c r="C76" s="164">
        <v>0</v>
      </c>
      <c r="D76" s="164">
        <v>0</v>
      </c>
      <c r="E76" s="164">
        <v>4312248</v>
      </c>
      <c r="F76" s="164">
        <v>0</v>
      </c>
      <c r="G76" s="164">
        <f>SUM(C76:F76)</f>
        <v>4312248</v>
      </c>
    </row>
    <row r="77" spans="2:7" x14ac:dyDescent="0.2">
      <c r="B77" s="91" t="s">
        <v>915</v>
      </c>
      <c r="C77" s="164">
        <v>1254872</v>
      </c>
      <c r="D77" s="164">
        <v>0</v>
      </c>
      <c r="E77" s="164">
        <v>0</v>
      </c>
      <c r="F77" s="164">
        <v>0</v>
      </c>
      <c r="G77" s="164">
        <f t="shared" ref="G77:G83" si="5">SUM(C77:F77)</f>
        <v>1254872</v>
      </c>
    </row>
    <row r="78" spans="2:7" x14ac:dyDescent="0.2">
      <c r="B78" s="91" t="s">
        <v>147</v>
      </c>
      <c r="C78" s="164">
        <v>0</v>
      </c>
      <c r="D78" s="164">
        <v>0</v>
      </c>
      <c r="E78" s="164">
        <v>0</v>
      </c>
      <c r="F78" s="164">
        <v>0</v>
      </c>
      <c r="G78" s="164">
        <v>775711</v>
      </c>
    </row>
    <row r="79" spans="2:7" ht="20.399999999999999" x14ac:dyDescent="0.2">
      <c r="B79" s="91" t="s">
        <v>302</v>
      </c>
      <c r="C79" s="164">
        <v>0</v>
      </c>
      <c r="D79" s="164">
        <v>0</v>
      </c>
      <c r="E79" s="164">
        <v>0</v>
      </c>
      <c r="F79" s="164">
        <v>0</v>
      </c>
      <c r="G79" s="164">
        <f t="shared" si="5"/>
        <v>0</v>
      </c>
    </row>
    <row r="80" spans="2:7" x14ac:dyDescent="0.2">
      <c r="B80" s="91" t="s">
        <v>301</v>
      </c>
      <c r="C80" s="164">
        <v>0</v>
      </c>
      <c r="D80" s="164">
        <v>0</v>
      </c>
      <c r="E80" s="164">
        <v>0</v>
      </c>
      <c r="F80" s="164">
        <v>0</v>
      </c>
      <c r="G80" s="164">
        <f t="shared" si="5"/>
        <v>0</v>
      </c>
    </row>
    <row r="81" spans="2:7" x14ac:dyDescent="0.2">
      <c r="B81" s="91" t="s">
        <v>303</v>
      </c>
      <c r="C81" s="164">
        <v>2419691</v>
      </c>
      <c r="D81" s="164">
        <v>0</v>
      </c>
      <c r="E81" s="209">
        <v>0</v>
      </c>
      <c r="F81" s="164">
        <v>0</v>
      </c>
      <c r="G81" s="164">
        <f t="shared" si="5"/>
        <v>2419691</v>
      </c>
    </row>
    <row r="82" spans="2:7" x14ac:dyDescent="0.2">
      <c r="B82" s="91" t="s">
        <v>464</v>
      </c>
      <c r="C82" s="164">
        <v>0</v>
      </c>
      <c r="D82" s="164">
        <v>0</v>
      </c>
      <c r="E82" s="209">
        <v>0</v>
      </c>
      <c r="F82" s="164">
        <v>0</v>
      </c>
      <c r="G82" s="164">
        <f t="shared" si="5"/>
        <v>0</v>
      </c>
    </row>
    <row r="83" spans="2:7" x14ac:dyDescent="0.2">
      <c r="B83" s="91" t="s">
        <v>665</v>
      </c>
      <c r="C83" s="164">
        <v>207950</v>
      </c>
      <c r="D83" s="164">
        <v>0</v>
      </c>
      <c r="E83" s="209">
        <v>0</v>
      </c>
      <c r="F83" s="164">
        <v>0</v>
      </c>
      <c r="G83" s="164">
        <f t="shared" si="5"/>
        <v>207950</v>
      </c>
    </row>
    <row r="84" spans="2:7" s="89" customFormat="1" x14ac:dyDescent="0.2">
      <c r="B84" s="166" t="s">
        <v>305</v>
      </c>
      <c r="C84" s="238">
        <f>SUM(C85:C93)</f>
        <v>5372579</v>
      </c>
      <c r="D84" s="238">
        <f>SUM(D85:D93)</f>
        <v>0</v>
      </c>
      <c r="E84" s="238">
        <f>SUM(E85:E93)</f>
        <v>0</v>
      </c>
      <c r="F84" s="238">
        <f>SUM(F85:F93)</f>
        <v>0</v>
      </c>
      <c r="G84" s="131">
        <f t="shared" si="4"/>
        <v>5372579</v>
      </c>
    </row>
    <row r="85" spans="2:7" x14ac:dyDescent="0.2">
      <c r="B85" s="91" t="s">
        <v>913</v>
      </c>
      <c r="C85" s="164">
        <v>4312248</v>
      </c>
      <c r="D85" s="164">
        <v>0</v>
      </c>
      <c r="E85" s="164">
        <v>0</v>
      </c>
      <c r="F85" s="164">
        <v>0</v>
      </c>
      <c r="G85" s="164">
        <f>SUM(C85:F85)</f>
        <v>4312248</v>
      </c>
    </row>
    <row r="86" spans="2:7" s="576" customFormat="1" x14ac:dyDescent="0.2">
      <c r="B86" s="91" t="s">
        <v>916</v>
      </c>
      <c r="C86" s="164">
        <v>1060331</v>
      </c>
      <c r="D86" s="164">
        <v>0</v>
      </c>
      <c r="E86" s="164">
        <v>0</v>
      </c>
      <c r="F86" s="164">
        <v>0</v>
      </c>
      <c r="G86" s="164">
        <f>SUM(C86:F86)</f>
        <v>1060331</v>
      </c>
    </row>
    <row r="87" spans="2:7" x14ac:dyDescent="0.2">
      <c r="B87" s="91" t="s">
        <v>665</v>
      </c>
      <c r="C87" s="164">
        <v>0</v>
      </c>
      <c r="D87" s="164">
        <v>0</v>
      </c>
      <c r="E87" s="164">
        <v>0</v>
      </c>
      <c r="F87" s="164">
        <v>0</v>
      </c>
      <c r="G87" s="164">
        <f t="shared" ref="G87:G93" si="6">SUM(C87:F87)</f>
        <v>0</v>
      </c>
    </row>
    <row r="88" spans="2:7" x14ac:dyDescent="0.2">
      <c r="B88" s="91" t="s">
        <v>301</v>
      </c>
      <c r="C88" s="164">
        <v>0</v>
      </c>
      <c r="D88" s="164">
        <v>0</v>
      </c>
      <c r="E88" s="164">
        <v>0</v>
      </c>
      <c r="F88" s="164">
        <v>0</v>
      </c>
      <c r="G88" s="164">
        <f t="shared" si="6"/>
        <v>0</v>
      </c>
    </row>
    <row r="89" spans="2:7" x14ac:dyDescent="0.2">
      <c r="B89" s="91" t="s">
        <v>467</v>
      </c>
      <c r="C89" s="164">
        <v>0</v>
      </c>
      <c r="D89" s="164">
        <v>0</v>
      </c>
      <c r="E89" s="164">
        <v>0</v>
      </c>
      <c r="F89" s="164">
        <v>0</v>
      </c>
      <c r="G89" s="164">
        <f t="shared" si="6"/>
        <v>0</v>
      </c>
    </row>
    <row r="90" spans="2:7" ht="20.399999999999999" x14ac:dyDescent="0.2">
      <c r="B90" s="91" t="s">
        <v>302</v>
      </c>
      <c r="C90" s="164">
        <v>0</v>
      </c>
      <c r="D90" s="164">
        <v>0</v>
      </c>
      <c r="E90" s="164">
        <v>0</v>
      </c>
      <c r="F90" s="164">
        <v>0</v>
      </c>
      <c r="G90" s="164">
        <f t="shared" si="6"/>
        <v>0</v>
      </c>
    </row>
    <row r="91" spans="2:7" x14ac:dyDescent="0.2">
      <c r="B91" s="91" t="s">
        <v>301</v>
      </c>
      <c r="C91" s="164">
        <v>0</v>
      </c>
      <c r="D91" s="164">
        <v>0</v>
      </c>
      <c r="E91" s="164">
        <v>0</v>
      </c>
      <c r="F91" s="164">
        <v>0</v>
      </c>
      <c r="G91" s="164">
        <f t="shared" si="6"/>
        <v>0</v>
      </c>
    </row>
    <row r="92" spans="2:7" x14ac:dyDescent="0.2">
      <c r="B92" s="91" t="s">
        <v>303</v>
      </c>
      <c r="C92" s="164">
        <v>0</v>
      </c>
      <c r="D92" s="164">
        <v>0</v>
      </c>
      <c r="E92" s="164">
        <v>0</v>
      </c>
      <c r="F92" s="164">
        <v>0</v>
      </c>
      <c r="G92" s="164">
        <f t="shared" si="6"/>
        <v>0</v>
      </c>
    </row>
    <row r="93" spans="2:7" x14ac:dyDescent="0.2">
      <c r="B93" s="91" t="s">
        <v>464</v>
      </c>
      <c r="C93" s="164">
        <v>0</v>
      </c>
      <c r="D93" s="164">
        <v>0</v>
      </c>
      <c r="E93" s="164">
        <v>0</v>
      </c>
      <c r="F93" s="164">
        <v>0</v>
      </c>
      <c r="G93" s="164">
        <f t="shared" si="6"/>
        <v>0</v>
      </c>
    </row>
    <row r="94" spans="2:7" x14ac:dyDescent="0.2">
      <c r="B94" s="470">
        <v>43465</v>
      </c>
      <c r="C94" s="131">
        <f>C74+C75-C84</f>
        <v>9915597</v>
      </c>
      <c r="D94" s="131">
        <f>D74+D75-D84</f>
        <v>9105011</v>
      </c>
      <c r="E94" s="131">
        <f>E74+E75-E84</f>
        <v>5051178</v>
      </c>
      <c r="F94" s="131">
        <f>F74+F75-F84</f>
        <v>0</v>
      </c>
      <c r="G94" s="131">
        <f>G74+G75-G84</f>
        <v>24071786</v>
      </c>
    </row>
    <row r="95" spans="2:7" x14ac:dyDescent="0.2">
      <c r="B95" s="470">
        <v>42736</v>
      </c>
      <c r="C95" s="131">
        <v>7863733</v>
      </c>
      <c r="D95" s="131">
        <v>9069218</v>
      </c>
      <c r="E95" s="131">
        <v>738930</v>
      </c>
      <c r="F95" s="131">
        <v>0</v>
      </c>
      <c r="G95" s="131">
        <f>SUM(C95:F95)</f>
        <v>17671881</v>
      </c>
    </row>
    <row r="96" spans="2:7" s="89" customFormat="1" x14ac:dyDescent="0.2">
      <c r="B96" s="166" t="s">
        <v>304</v>
      </c>
      <c r="C96" s="238">
        <f>SUM(C97:C105)</f>
        <v>3577723</v>
      </c>
      <c r="D96" s="238">
        <f t="shared" ref="D96:F96" si="7">SUM(D97:D105)</f>
        <v>35793</v>
      </c>
      <c r="E96" s="238">
        <f t="shared" si="7"/>
        <v>0</v>
      </c>
      <c r="F96" s="238">
        <f t="shared" si="7"/>
        <v>0</v>
      </c>
      <c r="G96" s="131">
        <f t="shared" si="4"/>
        <v>3613516</v>
      </c>
    </row>
    <row r="97" spans="2:7" ht="20.399999999999999" x14ac:dyDescent="0.2">
      <c r="B97" s="91" t="s">
        <v>300</v>
      </c>
      <c r="C97" s="164">
        <v>0</v>
      </c>
      <c r="D97" s="164">
        <v>0</v>
      </c>
      <c r="E97" s="164">
        <v>0</v>
      </c>
      <c r="F97" s="164">
        <v>0</v>
      </c>
      <c r="G97" s="164">
        <f t="shared" si="4"/>
        <v>0</v>
      </c>
    </row>
    <row r="98" spans="2:7" x14ac:dyDescent="0.2">
      <c r="B98" s="91" t="s">
        <v>667</v>
      </c>
      <c r="C98" s="164">
        <v>0</v>
      </c>
      <c r="D98" s="164">
        <v>0</v>
      </c>
      <c r="E98" s="164">
        <v>0</v>
      </c>
      <c r="F98" s="164">
        <v>0</v>
      </c>
      <c r="G98" s="164">
        <f t="shared" si="4"/>
        <v>0</v>
      </c>
    </row>
    <row r="99" spans="2:7" x14ac:dyDescent="0.2">
      <c r="B99" s="503" t="s">
        <v>301</v>
      </c>
      <c r="C99" s="164">
        <v>0</v>
      </c>
      <c r="D99" s="164">
        <v>0</v>
      </c>
      <c r="E99" s="164">
        <v>0</v>
      </c>
      <c r="F99" s="164">
        <v>0</v>
      </c>
      <c r="G99" s="164">
        <f t="shared" si="4"/>
        <v>0</v>
      </c>
    </row>
    <row r="100" spans="2:7" x14ac:dyDescent="0.2">
      <c r="B100" s="91" t="s">
        <v>147</v>
      </c>
      <c r="C100" s="164">
        <v>0</v>
      </c>
      <c r="D100" s="164">
        <v>0</v>
      </c>
      <c r="E100" s="164">
        <v>0</v>
      </c>
      <c r="F100" s="164">
        <v>0</v>
      </c>
      <c r="G100" s="164">
        <f t="shared" si="4"/>
        <v>0</v>
      </c>
    </row>
    <row r="101" spans="2:7" ht="20.399999999999999" x14ac:dyDescent="0.2">
      <c r="B101" s="91" t="s">
        <v>302</v>
      </c>
      <c r="C101" s="164">
        <v>0</v>
      </c>
      <c r="D101" s="164">
        <v>0</v>
      </c>
      <c r="E101" s="164">
        <v>0</v>
      </c>
      <c r="F101" s="164">
        <v>0</v>
      </c>
      <c r="G101" s="164">
        <f t="shared" si="4"/>
        <v>0</v>
      </c>
    </row>
    <row r="102" spans="2:7" x14ac:dyDescent="0.2">
      <c r="B102" s="91" t="s">
        <v>301</v>
      </c>
      <c r="C102" s="164">
        <v>0</v>
      </c>
      <c r="D102" s="164">
        <v>0</v>
      </c>
      <c r="E102" s="164">
        <v>0</v>
      </c>
      <c r="F102" s="164">
        <v>0</v>
      </c>
      <c r="G102" s="164">
        <f t="shared" si="4"/>
        <v>0</v>
      </c>
    </row>
    <row r="103" spans="2:7" x14ac:dyDescent="0.2">
      <c r="B103" s="91" t="s">
        <v>303</v>
      </c>
      <c r="C103" s="164">
        <v>3557225</v>
      </c>
      <c r="D103" s="164">
        <v>0</v>
      </c>
      <c r="E103" s="164">
        <v>0</v>
      </c>
      <c r="F103" s="164">
        <v>0</v>
      </c>
      <c r="G103" s="164">
        <f t="shared" si="4"/>
        <v>3557225</v>
      </c>
    </row>
    <row r="104" spans="2:7" x14ac:dyDescent="0.2">
      <c r="B104" s="91" t="s">
        <v>464</v>
      </c>
      <c r="C104" s="164">
        <v>0</v>
      </c>
      <c r="D104" s="164">
        <v>35793</v>
      </c>
      <c r="E104" s="164">
        <v>0</v>
      </c>
      <c r="F104" s="164">
        <v>0</v>
      </c>
      <c r="G104" s="164">
        <f t="shared" si="4"/>
        <v>35793</v>
      </c>
    </row>
    <row r="105" spans="2:7" x14ac:dyDescent="0.2">
      <c r="B105" s="91" t="s">
        <v>665</v>
      </c>
      <c r="C105" s="164">
        <v>20498</v>
      </c>
      <c r="D105" s="164">
        <v>0</v>
      </c>
      <c r="E105" s="164">
        <v>0</v>
      </c>
      <c r="F105" s="164">
        <v>0</v>
      </c>
      <c r="G105" s="164">
        <f t="shared" si="4"/>
        <v>20498</v>
      </c>
    </row>
    <row r="106" spans="2:7" s="89" customFormat="1" x14ac:dyDescent="0.2">
      <c r="B106" s="166" t="s">
        <v>305</v>
      </c>
      <c r="C106" s="238">
        <f>SUM(C107:C114)</f>
        <v>35793</v>
      </c>
      <c r="D106" s="238">
        <f>SUM(D107:D114)</f>
        <v>0</v>
      </c>
      <c r="E106" s="238">
        <f>SUM(E107:E114)</f>
        <v>0</v>
      </c>
      <c r="F106" s="238">
        <f>SUM(F107:F114)</f>
        <v>0</v>
      </c>
      <c r="G106" s="131">
        <f t="shared" si="4"/>
        <v>35793</v>
      </c>
    </row>
    <row r="107" spans="2:7" ht="20.399999999999999" x14ac:dyDescent="0.2">
      <c r="B107" s="91" t="s">
        <v>300</v>
      </c>
      <c r="C107" s="164">
        <v>0</v>
      </c>
      <c r="D107" s="164">
        <v>0</v>
      </c>
      <c r="E107" s="164">
        <v>0</v>
      </c>
      <c r="F107" s="164">
        <v>0</v>
      </c>
      <c r="G107" s="164">
        <f t="shared" si="4"/>
        <v>0</v>
      </c>
    </row>
    <row r="108" spans="2:7" x14ac:dyDescent="0.2">
      <c r="B108" s="91" t="s">
        <v>665</v>
      </c>
      <c r="C108" s="164">
        <v>0</v>
      </c>
      <c r="D108" s="164">
        <v>0</v>
      </c>
      <c r="E108" s="164">
        <v>0</v>
      </c>
      <c r="F108" s="164">
        <v>0</v>
      </c>
      <c r="G108" s="164"/>
    </row>
    <row r="109" spans="2:7" x14ac:dyDescent="0.2">
      <c r="B109" s="91" t="s">
        <v>301</v>
      </c>
      <c r="C109" s="164">
        <v>0</v>
      </c>
      <c r="D109" s="164">
        <v>0</v>
      </c>
      <c r="E109" s="164">
        <v>0</v>
      </c>
      <c r="F109" s="164">
        <v>0</v>
      </c>
      <c r="G109" s="164">
        <f t="shared" si="4"/>
        <v>0</v>
      </c>
    </row>
    <row r="110" spans="2:7" x14ac:dyDescent="0.2">
      <c r="B110" s="91" t="s">
        <v>467</v>
      </c>
      <c r="C110" s="164">
        <v>0</v>
      </c>
      <c r="D110" s="164">
        <v>0</v>
      </c>
      <c r="E110" s="164">
        <v>0</v>
      </c>
      <c r="F110" s="164">
        <v>0</v>
      </c>
      <c r="G110" s="164">
        <f t="shared" si="4"/>
        <v>0</v>
      </c>
    </row>
    <row r="111" spans="2:7" ht="20.399999999999999" x14ac:dyDescent="0.2">
      <c r="B111" s="91" t="s">
        <v>302</v>
      </c>
      <c r="C111" s="164">
        <v>0</v>
      </c>
      <c r="D111" s="164">
        <v>0</v>
      </c>
      <c r="E111" s="164">
        <v>0</v>
      </c>
      <c r="F111" s="164">
        <v>0</v>
      </c>
      <c r="G111" s="164">
        <f t="shared" si="4"/>
        <v>0</v>
      </c>
    </row>
    <row r="112" spans="2:7" x14ac:dyDescent="0.2">
      <c r="B112" s="91" t="s">
        <v>301</v>
      </c>
      <c r="C112" s="164">
        <v>0</v>
      </c>
      <c r="D112" s="164">
        <v>0</v>
      </c>
      <c r="E112" s="164">
        <v>0</v>
      </c>
      <c r="F112" s="164">
        <v>0</v>
      </c>
      <c r="G112" s="164">
        <f t="shared" si="4"/>
        <v>0</v>
      </c>
    </row>
    <row r="113" spans="2:7" x14ac:dyDescent="0.2">
      <c r="B113" s="91" t="s">
        <v>303</v>
      </c>
      <c r="C113" s="164">
        <v>0</v>
      </c>
      <c r="D113" s="164">
        <v>0</v>
      </c>
      <c r="E113" s="164">
        <v>0</v>
      </c>
      <c r="F113" s="164">
        <v>0</v>
      </c>
      <c r="G113" s="164">
        <f t="shared" si="4"/>
        <v>0</v>
      </c>
    </row>
    <row r="114" spans="2:7" x14ac:dyDescent="0.2">
      <c r="B114" s="91" t="s">
        <v>464</v>
      </c>
      <c r="C114" s="164">
        <v>35793</v>
      </c>
      <c r="D114" s="164">
        <v>0</v>
      </c>
      <c r="E114" s="209">
        <v>0</v>
      </c>
      <c r="F114" s="164">
        <v>0</v>
      </c>
      <c r="G114" s="164">
        <f t="shared" si="4"/>
        <v>35793</v>
      </c>
    </row>
    <row r="115" spans="2:7" x14ac:dyDescent="0.2">
      <c r="B115" s="470">
        <v>43100</v>
      </c>
      <c r="C115" s="131">
        <f>C95+C96-C106</f>
        <v>11405663</v>
      </c>
      <c r="D115" s="131">
        <f>D95+D96-D106</f>
        <v>9105011</v>
      </c>
      <c r="E115" s="131">
        <f>E95+E96-E106</f>
        <v>738930</v>
      </c>
      <c r="F115" s="131">
        <f>F95+F96-F106</f>
        <v>0</v>
      </c>
      <c r="G115" s="131">
        <f t="shared" si="4"/>
        <v>21249604</v>
      </c>
    </row>
    <row r="116" spans="2:7" x14ac:dyDescent="0.2">
      <c r="E116" s="323" t="s">
        <v>624</v>
      </c>
      <c r="F116" s="320">
        <f>[7]Pasywa!D7-'[7]NOTA  29,30,31,32- Kapitały'!F112</f>
        <v>0</v>
      </c>
      <c r="G116" s="320">
        <f>[7]Pasywa!D8-('[7]NOTA  29,30,31,32- Kapitały'!G112-'[7]NOTA  29,30,31,32- Kapitały'!F112)</f>
        <v>-0.42999999970197678</v>
      </c>
    </row>
    <row r="117" spans="2:7" x14ac:dyDescent="0.2">
      <c r="E117" s="323" t="s">
        <v>625</v>
      </c>
      <c r="F117" s="320">
        <f>[7]Pasywa!E7-'[7]NOTA  29,30,31,32- Kapitały'!F130</f>
        <v>0</v>
      </c>
      <c r="G117" s="320">
        <f>[7]Pasywa!E8-('[7]NOTA  29,30,31,32- Kapitały'!G130-'[7]NOTA  29,30,31,32- Kapitały'!F130)</f>
        <v>-0.42999999970197678</v>
      </c>
    </row>
    <row r="118" spans="2:7" ht="13.2" x14ac:dyDescent="0.25">
      <c r="B118" s="412" t="s">
        <v>976</v>
      </c>
    </row>
    <row r="119" spans="2:7" x14ac:dyDescent="0.2">
      <c r="C119" s="662"/>
      <c r="D119" s="662"/>
      <c r="E119" s="662"/>
    </row>
    <row r="120" spans="2:7" x14ac:dyDescent="0.2">
      <c r="B120" s="103" t="s">
        <v>353</v>
      </c>
      <c r="C120" s="461">
        <f>C63</f>
        <v>43465</v>
      </c>
      <c r="D120" s="461">
        <f>D63</f>
        <v>43100</v>
      </c>
    </row>
    <row r="121" spans="2:7" ht="20.399999999999999" x14ac:dyDescent="0.2">
      <c r="B121" s="91" t="s">
        <v>219</v>
      </c>
      <c r="C121" s="209">
        <v>-50175</v>
      </c>
      <c r="D121" s="209">
        <v>0</v>
      </c>
    </row>
    <row r="122" spans="2:7" hidden="1" x14ac:dyDescent="0.2">
      <c r="B122" s="122" t="s">
        <v>294</v>
      </c>
      <c r="C122" s="209"/>
      <c r="D122" s="209"/>
    </row>
    <row r="123" spans="2:7" hidden="1" x14ac:dyDescent="0.2">
      <c r="B123" s="122" t="s">
        <v>294</v>
      </c>
      <c r="C123" s="209"/>
      <c r="D123" s="209"/>
    </row>
    <row r="124" spans="2:7" x14ac:dyDescent="0.2">
      <c r="B124" s="57" t="s">
        <v>28</v>
      </c>
      <c r="C124" s="92">
        <f>SUM(C121:C123)</f>
        <v>-50175</v>
      </c>
      <c r="D124" s="92">
        <f>SUM(D121:D123)</f>
        <v>0</v>
      </c>
    </row>
    <row r="125" spans="2:7" x14ac:dyDescent="0.2">
      <c r="C125" s="320">
        <f>Pasywa!D10-C124</f>
        <v>0</v>
      </c>
      <c r="D125" s="320">
        <f>Pasywa!E10-D124</f>
        <v>0</v>
      </c>
    </row>
    <row r="127" spans="2:7" ht="13.2" x14ac:dyDescent="0.25">
      <c r="B127" s="412" t="s">
        <v>977</v>
      </c>
    </row>
    <row r="129" spans="2:4" x14ac:dyDescent="0.2">
      <c r="B129" s="128" t="s">
        <v>353</v>
      </c>
      <c r="C129" s="461">
        <f>C120</f>
        <v>43465</v>
      </c>
      <c r="D129" s="461">
        <f>D120</f>
        <v>43100</v>
      </c>
    </row>
    <row r="130" spans="2:4" x14ac:dyDescent="0.2">
      <c r="B130" s="50" t="s">
        <v>195</v>
      </c>
      <c r="C130" s="93">
        <f>D135</f>
        <v>1248292</v>
      </c>
      <c r="D130" s="93">
        <v>1018836</v>
      </c>
    </row>
    <row r="131" spans="2:4" x14ac:dyDescent="0.2">
      <c r="B131" s="113" t="s">
        <v>196</v>
      </c>
      <c r="C131" s="508">
        <v>0</v>
      </c>
      <c r="D131" s="333">
        <v>-160000</v>
      </c>
    </row>
    <row r="132" spans="2:4" x14ac:dyDescent="0.2">
      <c r="B132" s="113" t="s">
        <v>197</v>
      </c>
      <c r="C132" s="508">
        <v>-194541</v>
      </c>
      <c r="D132" s="333">
        <v>0</v>
      </c>
    </row>
    <row r="133" spans="2:4" ht="20.399999999999999" x14ac:dyDescent="0.2">
      <c r="B133" s="46" t="s">
        <v>198</v>
      </c>
      <c r="C133" s="508">
        <v>0</v>
      </c>
      <c r="D133" s="333">
        <v>-22503</v>
      </c>
    </row>
    <row r="134" spans="2:4" x14ac:dyDescent="0.2">
      <c r="B134" s="113" t="s">
        <v>199</v>
      </c>
      <c r="C134" s="508">
        <v>80205</v>
      </c>
      <c r="D134" s="333">
        <v>411959</v>
      </c>
    </row>
    <row r="135" spans="2:4" x14ac:dyDescent="0.2">
      <c r="B135" s="40" t="s">
        <v>200</v>
      </c>
      <c r="C135" s="93">
        <f>SUM(C130:C134)</f>
        <v>1133956</v>
      </c>
      <c r="D135" s="93">
        <f>SUM(D130:D134)</f>
        <v>1248292</v>
      </c>
    </row>
    <row r="136" spans="2:4" x14ac:dyDescent="0.2">
      <c r="C136" s="320">
        <f>Pasywa!D12-C135</f>
        <v>0</v>
      </c>
      <c r="D136" s="320">
        <f>Pasywa!E12-D135</f>
        <v>0</v>
      </c>
    </row>
  </sheetData>
  <mergeCells count="3">
    <mergeCell ref="C4:E4"/>
    <mergeCell ref="B5:C5"/>
    <mergeCell ref="C119:E119"/>
  </mergeCells>
  <phoneticPr fontId="28" type="noConversion"/>
  <pageMargins left="0.75" right="0.75" top="1" bottom="1" header="0.5" footer="0.5"/>
  <pageSetup paperSize="9" scale="60" fitToHeight="2" orientation="portrait" r:id="rId1"/>
  <headerFooter alignWithMargins="0"/>
  <rowBreaks count="1" manualBreakCount="1">
    <brk id="70" min="1" max="8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/>
  <dimension ref="A1:J42"/>
  <sheetViews>
    <sheetView showGridLines="0" view="pageBreakPreview" topLeftCell="A19" zoomScaleNormal="100" zoomScaleSheetLayoutView="100" workbookViewId="0">
      <selection activeCell="A28" sqref="A28:XFD48"/>
    </sheetView>
  </sheetViews>
  <sheetFormatPr defaultColWidth="9.21875" defaultRowHeight="13.2" x14ac:dyDescent="0.25"/>
  <cols>
    <col min="1" max="1" width="41.44140625" customWidth="1"/>
    <col min="2" max="2" width="12.5546875" customWidth="1"/>
    <col min="3" max="4" width="13" customWidth="1"/>
    <col min="5" max="5" width="12.77734375" customWidth="1"/>
    <col min="6" max="6" width="16.77734375" customWidth="1"/>
  </cols>
  <sheetData>
    <row r="1" spans="1:10" x14ac:dyDescent="0.25">
      <c r="A1" s="38"/>
    </row>
    <row r="2" spans="1:10" s="44" customFormat="1" x14ac:dyDescent="0.25">
      <c r="A2" s="412" t="s">
        <v>978</v>
      </c>
    </row>
    <row r="3" spans="1:10" s="44" customFormat="1" ht="10.199999999999999" x14ac:dyDescent="0.2">
      <c r="A3" s="441"/>
      <c r="B3" s="441"/>
      <c r="C3" s="441"/>
      <c r="D3" s="441"/>
      <c r="E3" s="441"/>
      <c r="F3" s="441"/>
      <c r="G3" s="441"/>
      <c r="H3" s="144"/>
      <c r="I3" s="144"/>
      <c r="J3" s="144"/>
    </row>
    <row r="4" spans="1:10" s="44" customFormat="1" ht="10.199999999999999" x14ac:dyDescent="0.2"/>
    <row r="5" spans="1:10" s="6" customFormat="1" ht="10.199999999999999" x14ac:dyDescent="0.2">
      <c r="A5" s="128" t="s">
        <v>353</v>
      </c>
      <c r="B5" s="461">
        <f>Aktywa!D2</f>
        <v>43465</v>
      </c>
      <c r="C5" s="461">
        <f>Aktywa!E2</f>
        <v>43100</v>
      </c>
      <c r="D5" s="44"/>
    </row>
    <row r="6" spans="1:10" s="44" customFormat="1" ht="10.199999999999999" x14ac:dyDescent="0.2">
      <c r="A6" s="91" t="s">
        <v>307</v>
      </c>
      <c r="B6" s="164">
        <v>1375652</v>
      </c>
      <c r="C6" s="164">
        <v>0</v>
      </c>
    </row>
    <row r="7" spans="1:10" s="44" customFormat="1" ht="10.199999999999999" x14ac:dyDescent="0.2">
      <c r="A7" s="91" t="s">
        <v>308</v>
      </c>
      <c r="B7" s="164">
        <v>0</v>
      </c>
      <c r="C7" s="164">
        <v>0</v>
      </c>
    </row>
    <row r="8" spans="1:10" s="44" customFormat="1" ht="10.199999999999999" x14ac:dyDescent="0.2">
      <c r="A8" s="91" t="s">
        <v>82</v>
      </c>
      <c r="B8" s="164">
        <v>0</v>
      </c>
      <c r="C8" s="164">
        <v>0</v>
      </c>
    </row>
    <row r="9" spans="1:10" s="44" customFormat="1" ht="10.199999999999999" x14ac:dyDescent="0.2">
      <c r="A9" s="397" t="s">
        <v>262</v>
      </c>
      <c r="B9" s="164">
        <v>0</v>
      </c>
      <c r="C9" s="164">
        <v>0</v>
      </c>
    </row>
    <row r="10" spans="1:10" s="44" customFormat="1" ht="10.199999999999999" x14ac:dyDescent="0.2">
      <c r="A10" s="397" t="s">
        <v>676</v>
      </c>
      <c r="B10" s="164">
        <v>18148</v>
      </c>
      <c r="C10" s="164">
        <v>2928</v>
      </c>
    </row>
    <row r="11" spans="1:10" s="44" customFormat="1" ht="10.199999999999999" hidden="1" x14ac:dyDescent="0.2">
      <c r="A11" s="397" t="s">
        <v>294</v>
      </c>
      <c r="B11" s="164"/>
      <c r="C11" s="164"/>
    </row>
    <row r="12" spans="1:10" s="44" customFormat="1" ht="10.199999999999999" hidden="1" x14ac:dyDescent="0.2">
      <c r="A12" s="397" t="s">
        <v>294</v>
      </c>
      <c r="B12" s="164"/>
      <c r="C12" s="164"/>
    </row>
    <row r="13" spans="1:10" s="44" customFormat="1" ht="10.199999999999999" x14ac:dyDescent="0.2">
      <c r="A13" s="57" t="s">
        <v>309</v>
      </c>
      <c r="B13" s="131">
        <f>SUM(B6:B12)-B9</f>
        <v>1393800</v>
      </c>
      <c r="C13" s="131">
        <f>SUM(C6:C12)-C9</f>
        <v>2928</v>
      </c>
    </row>
    <row r="14" spans="1:10" s="44" customFormat="1" ht="10.199999999999999" x14ac:dyDescent="0.2">
      <c r="A14" s="411" t="s">
        <v>83</v>
      </c>
      <c r="B14" s="164">
        <v>0</v>
      </c>
      <c r="C14" s="164">
        <v>0</v>
      </c>
    </row>
    <row r="15" spans="1:10" s="44" customFormat="1" ht="10.199999999999999" x14ac:dyDescent="0.2">
      <c r="A15" s="411" t="s">
        <v>84</v>
      </c>
      <c r="B15" s="164">
        <v>1393800</v>
      </c>
      <c r="C15" s="164">
        <v>2928</v>
      </c>
    </row>
    <row r="16" spans="1:10" s="44" customFormat="1" ht="10.199999999999999" x14ac:dyDescent="0.2">
      <c r="B16" s="320">
        <f>B13-Pasywa!D14-Pasywa!D22</f>
        <v>0</v>
      </c>
      <c r="C16" s="320">
        <f>C13-Pasywa!E14-Pasywa!E22</f>
        <v>0</v>
      </c>
    </row>
    <row r="17" spans="1:5" s="44" customFormat="1" ht="10.199999999999999" x14ac:dyDescent="0.2"/>
    <row r="18" spans="1:5" s="44" customFormat="1" ht="10.199999999999999" x14ac:dyDescent="0.2">
      <c r="A18" s="52" t="s">
        <v>90</v>
      </c>
    </row>
    <row r="19" spans="1:5" s="44" customFormat="1" ht="10.199999999999999" x14ac:dyDescent="0.2"/>
    <row r="20" spans="1:5" s="44" customFormat="1" ht="10.199999999999999" x14ac:dyDescent="0.2">
      <c r="A20" s="128" t="s">
        <v>353</v>
      </c>
      <c r="B20" s="461">
        <f>B5</f>
        <v>43465</v>
      </c>
      <c r="C20" s="461">
        <f>C5</f>
        <v>43100</v>
      </c>
    </row>
    <row r="21" spans="1:5" s="44" customFormat="1" ht="10.199999999999999" x14ac:dyDescent="0.2">
      <c r="A21" s="151" t="s">
        <v>86</v>
      </c>
      <c r="B21" s="164">
        <v>1393800</v>
      </c>
      <c r="C21" s="164">
        <v>2928</v>
      </c>
    </row>
    <row r="22" spans="1:5" s="44" customFormat="1" ht="10.199999999999999" x14ac:dyDescent="0.2">
      <c r="A22" s="151" t="s">
        <v>87</v>
      </c>
      <c r="B22" s="164">
        <f>SUM(B23:B25)</f>
        <v>0</v>
      </c>
      <c r="C22" s="164">
        <f>SUM(C23:C25)</f>
        <v>0</v>
      </c>
    </row>
    <row r="23" spans="1:5" s="44" customFormat="1" ht="10.199999999999999" x14ac:dyDescent="0.2">
      <c r="A23" s="239" t="s">
        <v>91</v>
      </c>
      <c r="B23" s="164">
        <v>0</v>
      </c>
      <c r="C23" s="164">
        <v>0</v>
      </c>
    </row>
    <row r="24" spans="1:5" s="44" customFormat="1" ht="10.199999999999999" x14ac:dyDescent="0.2">
      <c r="A24" s="239" t="s">
        <v>92</v>
      </c>
      <c r="B24" s="164">
        <v>0</v>
      </c>
      <c r="C24" s="164">
        <v>0</v>
      </c>
    </row>
    <row r="25" spans="1:5" s="44" customFormat="1" ht="10.199999999999999" x14ac:dyDescent="0.2">
      <c r="A25" s="239" t="s">
        <v>88</v>
      </c>
      <c r="B25" s="164">
        <v>0</v>
      </c>
      <c r="C25" s="164">
        <v>0</v>
      </c>
    </row>
    <row r="26" spans="1:5" s="44" customFormat="1" ht="10.199999999999999" x14ac:dyDescent="0.2">
      <c r="A26" s="13" t="s">
        <v>89</v>
      </c>
      <c r="B26" s="131">
        <f>SUM(B21:B22)</f>
        <v>1393800</v>
      </c>
      <c r="C26" s="131">
        <f>SUM(C21:C22)</f>
        <v>2928</v>
      </c>
    </row>
    <row r="27" spans="1:5" s="44" customFormat="1" ht="10.199999999999999" x14ac:dyDescent="0.2">
      <c r="A27" s="150"/>
      <c r="B27" s="320">
        <f>B13-B26</f>
        <v>0</v>
      </c>
      <c r="C27" s="320">
        <f>C13-C26</f>
        <v>0</v>
      </c>
    </row>
    <row r="28" spans="1:5" s="44" customFormat="1" ht="10.199999999999999" x14ac:dyDescent="0.2"/>
    <row r="29" spans="1:5" s="44" customFormat="1" ht="10.199999999999999" x14ac:dyDescent="0.2">
      <c r="A29" s="52" t="s">
        <v>95</v>
      </c>
    </row>
    <row r="30" spans="1:5" s="44" customFormat="1" ht="10.199999999999999" x14ac:dyDescent="0.2"/>
    <row r="31" spans="1:5" s="44" customFormat="1" ht="10.199999999999999" x14ac:dyDescent="0.2">
      <c r="A31" s="644" t="s">
        <v>353</v>
      </c>
      <c r="B31" s="677">
        <f>B5</f>
        <v>43465</v>
      </c>
      <c r="C31" s="677"/>
      <c r="D31" s="677">
        <f>C5</f>
        <v>43100</v>
      </c>
      <c r="E31" s="677"/>
    </row>
    <row r="32" spans="1:5" s="44" customFormat="1" ht="20.399999999999999" x14ac:dyDescent="0.2">
      <c r="A32" s="644"/>
      <c r="B32" s="73" t="s">
        <v>93</v>
      </c>
      <c r="C32" s="73" t="s">
        <v>94</v>
      </c>
      <c r="D32" s="73" t="s">
        <v>93</v>
      </c>
      <c r="E32" s="73" t="s">
        <v>94</v>
      </c>
    </row>
    <row r="33" spans="1:5" s="44" customFormat="1" ht="10.199999999999999" x14ac:dyDescent="0.2">
      <c r="A33" s="151" t="s">
        <v>14</v>
      </c>
      <c r="B33" s="209">
        <v>1393800</v>
      </c>
      <c r="C33" s="209">
        <v>1393800</v>
      </c>
      <c r="D33" s="209">
        <v>2928</v>
      </c>
      <c r="E33" s="209">
        <v>2928</v>
      </c>
    </row>
    <row r="34" spans="1:5" s="44" customFormat="1" ht="10.199999999999999" x14ac:dyDescent="0.2">
      <c r="A34" s="151" t="s">
        <v>15</v>
      </c>
      <c r="B34" s="164">
        <v>0</v>
      </c>
      <c r="C34" s="164">
        <v>0</v>
      </c>
      <c r="D34" s="164">
        <v>0</v>
      </c>
      <c r="E34" s="164">
        <v>0</v>
      </c>
    </row>
    <row r="35" spans="1:5" s="44" customFormat="1" ht="10.199999999999999" x14ac:dyDescent="0.2">
      <c r="A35" s="151" t="s">
        <v>16</v>
      </c>
      <c r="B35" s="164">
        <v>0</v>
      </c>
      <c r="C35" s="164">
        <v>0</v>
      </c>
      <c r="D35" s="164">
        <v>0</v>
      </c>
      <c r="E35" s="164">
        <v>0</v>
      </c>
    </row>
    <row r="36" spans="1:5" s="44" customFormat="1" ht="10.199999999999999" x14ac:dyDescent="0.2">
      <c r="A36" s="151" t="s">
        <v>415</v>
      </c>
      <c r="B36" s="164">
        <v>0</v>
      </c>
      <c r="C36" s="164">
        <v>0</v>
      </c>
      <c r="D36" s="164">
        <v>0</v>
      </c>
      <c r="E36" s="164">
        <v>0</v>
      </c>
    </row>
    <row r="37" spans="1:5" s="44" customFormat="1" ht="10.199999999999999" x14ac:dyDescent="0.2">
      <c r="A37" s="151" t="s">
        <v>416</v>
      </c>
      <c r="B37" s="164">
        <v>0</v>
      </c>
      <c r="C37" s="164">
        <v>0</v>
      </c>
      <c r="D37" s="164">
        <v>0</v>
      </c>
      <c r="E37" s="164">
        <v>0</v>
      </c>
    </row>
    <row r="38" spans="1:5" s="44" customFormat="1" ht="10.199999999999999" x14ac:dyDescent="0.2">
      <c r="A38" s="13" t="s">
        <v>89</v>
      </c>
      <c r="B38" s="249" t="s">
        <v>85</v>
      </c>
      <c r="C38" s="131">
        <f>SUM(C33:C37)</f>
        <v>1393800</v>
      </c>
      <c r="D38" s="249" t="s">
        <v>85</v>
      </c>
      <c r="E38" s="131">
        <f>SUM(E33:E37)</f>
        <v>2928</v>
      </c>
    </row>
    <row r="39" spans="1:5" s="44" customFormat="1" ht="10.199999999999999" x14ac:dyDescent="0.2">
      <c r="C39" s="320">
        <f>B13-C38</f>
        <v>0</v>
      </c>
      <c r="E39" s="320">
        <f>C13-E38</f>
        <v>0</v>
      </c>
    </row>
    <row r="40" spans="1:5" s="44" customFormat="1" ht="10.199999999999999" x14ac:dyDescent="0.2"/>
    <row r="41" spans="1:5" s="44" customFormat="1" ht="10.199999999999999" x14ac:dyDescent="0.2"/>
    <row r="42" spans="1:5" s="44" customFormat="1" ht="10.199999999999999" x14ac:dyDescent="0.2"/>
  </sheetData>
  <mergeCells count="3">
    <mergeCell ref="A31:A32"/>
    <mergeCell ref="B31:C31"/>
    <mergeCell ref="D31:E31"/>
  </mergeCells>
  <phoneticPr fontId="28" type="noConversion"/>
  <pageMargins left="0.75" right="0.75" top="1" bottom="1" header="0.5" footer="0.5"/>
  <pageSetup paperSize="9" scale="7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view="pageBreakPreview" zoomScaleNormal="100" zoomScaleSheetLayoutView="100" workbookViewId="0">
      <selection activeCell="A28" sqref="A28"/>
    </sheetView>
  </sheetViews>
  <sheetFormatPr defaultRowHeight="13.2" x14ac:dyDescent="0.25"/>
  <cols>
    <col min="1" max="1" width="60.44140625" customWidth="1"/>
    <col min="2" max="7" width="15.5546875" customWidth="1"/>
  </cols>
  <sheetData>
    <row r="1" spans="1:5" s="136" customFormat="1" ht="10.199999999999999" x14ac:dyDescent="0.25"/>
    <row r="2" spans="1:5" s="136" customFormat="1" x14ac:dyDescent="0.25">
      <c r="A2" s="412" t="s">
        <v>979</v>
      </c>
      <c r="D2" s="398"/>
      <c r="E2" s="398"/>
    </row>
    <row r="3" spans="1:5" s="136" customFormat="1" ht="10.199999999999999" x14ac:dyDescent="0.25">
      <c r="A3" s="134"/>
    </row>
    <row r="4" spans="1:5" s="136" customFormat="1" ht="10.199999999999999" x14ac:dyDescent="0.25">
      <c r="A4" s="137"/>
      <c r="B4" s="461">
        <f>'Dane podstawowe'!B9</f>
        <v>43465</v>
      </c>
      <c r="C4" s="461">
        <f>'Dane podstawowe'!B14</f>
        <v>43100</v>
      </c>
    </row>
    <row r="5" spans="1:5" s="136" customFormat="1" ht="10.199999999999999" x14ac:dyDescent="0.25">
      <c r="A5" s="65" t="s">
        <v>263</v>
      </c>
      <c r="B5" s="474">
        <v>236178</v>
      </c>
      <c r="C5" s="474">
        <v>46457</v>
      </c>
    </row>
    <row r="6" spans="1:5" s="136" customFormat="1" ht="10.199999999999999" x14ac:dyDescent="0.25">
      <c r="A6" s="65" t="s">
        <v>252</v>
      </c>
      <c r="B6" s="475">
        <v>0</v>
      </c>
      <c r="C6" s="475">
        <v>0</v>
      </c>
    </row>
    <row r="7" spans="1:5" s="136" customFormat="1" ht="10.199999999999999" x14ac:dyDescent="0.25">
      <c r="A7" s="65" t="s">
        <v>264</v>
      </c>
      <c r="B7" s="475">
        <v>0</v>
      </c>
      <c r="C7" s="475">
        <v>0</v>
      </c>
    </row>
    <row r="8" spans="1:5" s="136" customFormat="1" ht="10.199999999999999" x14ac:dyDescent="0.25">
      <c r="A8" s="65" t="s">
        <v>550</v>
      </c>
      <c r="B8" s="475">
        <v>0</v>
      </c>
      <c r="C8" s="475">
        <v>0</v>
      </c>
    </row>
    <row r="9" spans="1:5" s="136" customFormat="1" ht="10.199999999999999" x14ac:dyDescent="0.25">
      <c r="A9" s="65" t="s">
        <v>551</v>
      </c>
      <c r="B9" s="475">
        <v>0</v>
      </c>
      <c r="C9" s="475">
        <v>0</v>
      </c>
    </row>
    <row r="10" spans="1:5" s="136" customFormat="1" ht="10.199999999999999" x14ac:dyDescent="0.25">
      <c r="A10" s="65" t="s">
        <v>552</v>
      </c>
      <c r="B10" s="475">
        <v>0</v>
      </c>
      <c r="C10" s="475">
        <v>0</v>
      </c>
    </row>
    <row r="11" spans="1:5" s="136" customFormat="1" ht="10.199999999999999" x14ac:dyDescent="0.25">
      <c r="A11" s="140" t="s">
        <v>265</v>
      </c>
      <c r="B11" s="473">
        <f>SUM(B5:B10)</f>
        <v>236178</v>
      </c>
      <c r="C11" s="473">
        <f>SUM(C5:C10)</f>
        <v>46457</v>
      </c>
    </row>
    <row r="12" spans="1:5" s="136" customFormat="1" ht="10.199999999999999" x14ac:dyDescent="0.25">
      <c r="A12" s="72" t="s">
        <v>561</v>
      </c>
      <c r="B12" s="475">
        <v>126053</v>
      </c>
      <c r="C12" s="475">
        <v>33433</v>
      </c>
    </row>
    <row r="13" spans="1:5" s="136" customFormat="1" ht="10.199999999999999" x14ac:dyDescent="0.25">
      <c r="A13" s="72" t="s">
        <v>562</v>
      </c>
      <c r="B13" s="475">
        <v>110125</v>
      </c>
      <c r="C13" s="475">
        <v>13024</v>
      </c>
    </row>
    <row r="14" spans="1:5" s="136" customFormat="1" ht="10.199999999999999" x14ac:dyDescent="0.25">
      <c r="A14" s="135"/>
      <c r="B14" s="325">
        <f>B11-Pasywa!D15-Pasywa!D23</f>
        <v>0</v>
      </c>
      <c r="C14" s="325">
        <f>C11-Pasywa!E15-Pasywa!E23</f>
        <v>0</v>
      </c>
    </row>
    <row r="15" spans="1:5" s="136" customFormat="1" ht="10.199999999999999" x14ac:dyDescent="0.25">
      <c r="B15" s="323"/>
      <c r="C15" s="326"/>
      <c r="E15" s="353"/>
    </row>
    <row r="16" spans="1:5" s="136" customFormat="1" ht="10.199999999999999" x14ac:dyDescent="0.25">
      <c r="A16" s="11" t="s">
        <v>587</v>
      </c>
      <c r="B16" s="323"/>
      <c r="C16" s="326"/>
      <c r="E16" s="353"/>
    </row>
    <row r="17" spans="1:5" s="136" customFormat="1" ht="10.199999999999999" x14ac:dyDescent="0.25">
      <c r="A17" s="11"/>
      <c r="B17" s="323"/>
      <c r="C17" s="326"/>
      <c r="E17" s="353"/>
    </row>
    <row r="18" spans="1:5" s="136" customFormat="1" ht="10.199999999999999" x14ac:dyDescent="0.25">
      <c r="A18" s="137" t="s">
        <v>353</v>
      </c>
      <c r="B18" s="461">
        <f>B4</f>
        <v>43465</v>
      </c>
      <c r="C18" s="461">
        <f>C4</f>
        <v>43100</v>
      </c>
    </row>
    <row r="19" spans="1:5" s="136" customFormat="1" ht="10.199999999999999" x14ac:dyDescent="0.25">
      <c r="A19" s="65" t="s">
        <v>588</v>
      </c>
      <c r="B19" s="475">
        <v>126053</v>
      </c>
      <c r="C19" s="475">
        <v>13024</v>
      </c>
    </row>
    <row r="20" spans="1:5" s="136" customFormat="1" ht="10.199999999999999" x14ac:dyDescent="0.25">
      <c r="A20" s="65" t="s">
        <v>589</v>
      </c>
      <c r="B20" s="475">
        <v>110125</v>
      </c>
      <c r="C20" s="475">
        <v>33433</v>
      </c>
    </row>
    <row r="21" spans="1:5" s="136" customFormat="1" ht="10.199999999999999" x14ac:dyDescent="0.25">
      <c r="A21" s="65" t="s">
        <v>590</v>
      </c>
      <c r="B21" s="475">
        <v>110125</v>
      </c>
      <c r="C21" s="475">
        <v>33433</v>
      </c>
    </row>
    <row r="22" spans="1:5" s="136" customFormat="1" ht="10.199999999999999" x14ac:dyDescent="0.25">
      <c r="A22" s="65" t="s">
        <v>591</v>
      </c>
      <c r="B22" s="475">
        <v>0</v>
      </c>
      <c r="C22" s="475">
        <v>0</v>
      </c>
    </row>
    <row r="23" spans="1:5" s="136" customFormat="1" ht="10.199999999999999" x14ac:dyDescent="0.25">
      <c r="A23" s="101" t="s">
        <v>592</v>
      </c>
      <c r="B23" s="83">
        <f>B20+B19</f>
        <v>236178</v>
      </c>
      <c r="C23" s="83">
        <f>C20+C19</f>
        <v>46457</v>
      </c>
    </row>
    <row r="24" spans="1:5" s="136" customFormat="1" ht="10.199999999999999" x14ac:dyDescent="0.25">
      <c r="B24" s="325">
        <f>B5-B23</f>
        <v>0</v>
      </c>
      <c r="C24" s="325">
        <f>C5-C23</f>
        <v>0</v>
      </c>
    </row>
    <row r="25" spans="1:5" s="136" customFormat="1" ht="10.199999999999999" x14ac:dyDescent="0.25">
      <c r="B25" s="323"/>
      <c r="C25" s="326"/>
    </row>
    <row r="26" spans="1:5" s="136" customFormat="1" ht="10.199999999999999" x14ac:dyDescent="0.25"/>
  </sheetData>
  <phoneticPr fontId="47" type="noConversion"/>
  <pageMargins left="0.7" right="0.7" top="0.75" bottom="0.75" header="0.3" footer="0.3"/>
  <pageSetup paperSize="9" scale="64" orientation="portrait" r:id="rId1"/>
  <headerFooter alignWithMargins="0"/>
  <colBreaks count="1" manualBreakCount="1">
    <brk id="6" min="1" max="143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/>
  <dimension ref="A1:I46"/>
  <sheetViews>
    <sheetView showGridLines="0" view="pageBreakPreview" zoomScaleNormal="100" zoomScaleSheetLayoutView="100" workbookViewId="0">
      <selection activeCell="A48" sqref="A48:XFD60"/>
    </sheetView>
  </sheetViews>
  <sheetFormatPr defaultColWidth="9.21875" defaultRowHeight="13.2" x14ac:dyDescent="0.25"/>
  <cols>
    <col min="1" max="1" width="39" customWidth="1"/>
    <col min="2" max="2" width="15.21875" customWidth="1"/>
    <col min="3" max="3" width="15" customWidth="1"/>
    <col min="4" max="4" width="14.44140625" customWidth="1"/>
    <col min="5" max="5" width="11" customWidth="1"/>
    <col min="6" max="6" width="10.5546875" customWidth="1"/>
    <col min="7" max="7" width="11.44140625" customWidth="1"/>
    <col min="8" max="8" width="10.44140625" customWidth="1"/>
  </cols>
  <sheetData>
    <row r="1" spans="1:9" x14ac:dyDescent="0.25">
      <c r="A1" s="38"/>
    </row>
    <row r="2" spans="1:9" s="44" customFormat="1" x14ac:dyDescent="0.25">
      <c r="A2" s="412" t="s">
        <v>980</v>
      </c>
    </row>
    <row r="3" spans="1:9" s="44" customFormat="1" ht="10.199999999999999" x14ac:dyDescent="0.2">
      <c r="A3" s="3"/>
    </row>
    <row r="4" spans="1:9" s="44" customFormat="1" ht="10.199999999999999" x14ac:dyDescent="0.2">
      <c r="A4" s="52" t="s">
        <v>376</v>
      </c>
    </row>
    <row r="5" spans="1:9" s="44" customFormat="1" ht="10.199999999999999" x14ac:dyDescent="0.2">
      <c r="A5" s="52"/>
    </row>
    <row r="6" spans="1:9" s="44" customFormat="1" ht="10.199999999999999" x14ac:dyDescent="0.2">
      <c r="A6" s="103" t="s">
        <v>353</v>
      </c>
      <c r="B6" s="461">
        <f>Pasywa!D2</f>
        <v>43465</v>
      </c>
      <c r="C6" s="461">
        <f>Pasywa!E2</f>
        <v>43100</v>
      </c>
    </row>
    <row r="7" spans="1:9" s="44" customFormat="1" ht="10.199999999999999" x14ac:dyDescent="0.2">
      <c r="A7" s="399" t="s">
        <v>376</v>
      </c>
      <c r="B7" s="400">
        <f>SUM(B8:B9)</f>
        <v>7476785</v>
      </c>
      <c r="C7" s="400">
        <f>SUM(C8:C9)</f>
        <v>5636093</v>
      </c>
    </row>
    <row r="8" spans="1:9" s="44" customFormat="1" ht="10.199999999999999" x14ac:dyDescent="0.2">
      <c r="A8" s="69" t="s">
        <v>525</v>
      </c>
      <c r="B8" s="209">
        <v>0</v>
      </c>
      <c r="C8" s="209">
        <v>0</v>
      </c>
    </row>
    <row r="9" spans="1:9" s="44" customFormat="1" ht="10.199999999999999" x14ac:dyDescent="0.2">
      <c r="A9" s="69" t="s">
        <v>526</v>
      </c>
      <c r="B9" s="209">
        <v>7476785</v>
      </c>
      <c r="C9" s="209">
        <v>5636093</v>
      </c>
    </row>
    <row r="10" spans="1:9" s="44" customFormat="1" ht="10.199999999999999" x14ac:dyDescent="0.2">
      <c r="A10" s="173"/>
      <c r="B10" s="320">
        <f>B7-Pasywa!D24</f>
        <v>0</v>
      </c>
      <c r="C10" s="320">
        <f>C7-Pasywa!E24</f>
        <v>0</v>
      </c>
    </row>
    <row r="11" spans="1:9" s="44" customFormat="1" ht="10.199999999999999" x14ac:dyDescent="0.2">
      <c r="A11" s="174"/>
      <c r="B11" s="530"/>
      <c r="C11" s="530"/>
    </row>
    <row r="12" spans="1:9" s="44" customFormat="1" ht="11.25" customHeight="1" x14ac:dyDescent="0.2">
      <c r="A12" s="678" t="s">
        <v>734</v>
      </c>
      <c r="B12" s="678"/>
      <c r="C12" s="678"/>
      <c r="D12" s="678"/>
      <c r="E12" s="678"/>
      <c r="F12" s="678"/>
      <c r="G12" s="678"/>
    </row>
    <row r="13" spans="1:9" s="44" customFormat="1" ht="10.199999999999999" x14ac:dyDescent="0.2">
      <c r="A13" s="114"/>
    </row>
    <row r="14" spans="1:9" s="44" customFormat="1" ht="11.25" customHeight="1" x14ac:dyDescent="0.2">
      <c r="A14" s="674" t="s">
        <v>353</v>
      </c>
      <c r="B14" s="675" t="s">
        <v>28</v>
      </c>
      <c r="C14" s="644" t="s">
        <v>579</v>
      </c>
      <c r="D14" s="675" t="s">
        <v>735</v>
      </c>
      <c r="E14" s="675"/>
      <c r="F14" s="675"/>
      <c r="G14" s="675"/>
      <c r="H14" s="675"/>
    </row>
    <row r="15" spans="1:9" s="44" customFormat="1" ht="28.05" customHeight="1" x14ac:dyDescent="0.2">
      <c r="A15" s="674"/>
      <c r="B15" s="675"/>
      <c r="C15" s="644"/>
      <c r="D15" s="73" t="s">
        <v>736</v>
      </c>
      <c r="E15" s="73" t="s">
        <v>737</v>
      </c>
      <c r="F15" s="73" t="s">
        <v>253</v>
      </c>
      <c r="G15" s="73" t="s">
        <v>738</v>
      </c>
      <c r="H15" s="73" t="s">
        <v>739</v>
      </c>
    </row>
    <row r="16" spans="1:9" s="44" customFormat="1" ht="10.199999999999999" x14ac:dyDescent="0.2">
      <c r="A16" s="472">
        <v>43465</v>
      </c>
      <c r="B16" s="129">
        <v>7476785</v>
      </c>
      <c r="C16" s="130">
        <v>5618057</v>
      </c>
      <c r="D16" s="130">
        <v>1481196</v>
      </c>
      <c r="E16" s="130">
        <v>219778</v>
      </c>
      <c r="F16" s="130">
        <v>27328</v>
      </c>
      <c r="G16" s="130">
        <v>43759</v>
      </c>
      <c r="H16" s="130">
        <v>86667</v>
      </c>
      <c r="I16" s="320">
        <f>B16-B7</f>
        <v>0</v>
      </c>
    </row>
    <row r="17" spans="1:9" s="44" customFormat="1" ht="10.199999999999999" x14ac:dyDescent="0.2">
      <c r="A17" s="151" t="s">
        <v>525</v>
      </c>
      <c r="B17" s="130">
        <v>0</v>
      </c>
      <c r="C17" s="130">
        <v>0</v>
      </c>
      <c r="D17" s="130">
        <v>0</v>
      </c>
      <c r="E17" s="130">
        <v>0</v>
      </c>
      <c r="F17" s="130">
        <v>0</v>
      </c>
      <c r="G17" s="130">
        <v>0</v>
      </c>
      <c r="H17" s="130">
        <v>0</v>
      </c>
    </row>
    <row r="18" spans="1:9" s="44" customFormat="1" ht="10.199999999999999" x14ac:dyDescent="0.2">
      <c r="A18" s="151" t="s">
        <v>526</v>
      </c>
      <c r="B18" s="130">
        <v>7476785</v>
      </c>
      <c r="C18" s="130">
        <v>5618057</v>
      </c>
      <c r="D18" s="130">
        <v>1481196</v>
      </c>
      <c r="E18" s="130">
        <v>219778</v>
      </c>
      <c r="F18" s="130">
        <v>27328</v>
      </c>
      <c r="G18" s="130">
        <v>43759</v>
      </c>
      <c r="H18" s="130">
        <v>86667</v>
      </c>
    </row>
    <row r="19" spans="1:9" s="44" customFormat="1" ht="10.199999999999999" x14ac:dyDescent="0.2">
      <c r="A19" s="472">
        <v>43100</v>
      </c>
      <c r="B19" s="129">
        <f t="shared" ref="B19" si="0">SUM(C19:H19)</f>
        <v>5636093</v>
      </c>
      <c r="C19" s="130">
        <f t="shared" ref="C19:H19" si="1">C20+C21</f>
        <v>4815901</v>
      </c>
      <c r="D19" s="130">
        <f t="shared" si="1"/>
        <v>664713</v>
      </c>
      <c r="E19" s="130">
        <f t="shared" si="1"/>
        <v>54832</v>
      </c>
      <c r="F19" s="130">
        <f t="shared" si="1"/>
        <v>3777</v>
      </c>
      <c r="G19" s="130">
        <f t="shared" si="1"/>
        <v>64896</v>
      </c>
      <c r="H19" s="130">
        <f t="shared" si="1"/>
        <v>31974</v>
      </c>
      <c r="I19" s="320">
        <f>B19-C7</f>
        <v>0</v>
      </c>
    </row>
    <row r="20" spans="1:9" s="44" customFormat="1" ht="10.199999999999999" x14ac:dyDescent="0.2">
      <c r="A20" s="151" t="s">
        <v>525</v>
      </c>
      <c r="B20" s="130">
        <v>0</v>
      </c>
      <c r="C20" s="130">
        <v>0</v>
      </c>
      <c r="D20" s="130">
        <v>0</v>
      </c>
      <c r="E20" s="130">
        <v>0</v>
      </c>
      <c r="F20" s="130">
        <v>0</v>
      </c>
      <c r="G20" s="130">
        <v>0</v>
      </c>
      <c r="H20" s="130">
        <v>0</v>
      </c>
    </row>
    <row r="21" spans="1:9" s="44" customFormat="1" ht="10.199999999999999" x14ac:dyDescent="0.2">
      <c r="A21" s="151" t="s">
        <v>526</v>
      </c>
      <c r="B21" s="130">
        <f>SUM(C21:H21)</f>
        <v>5636093</v>
      </c>
      <c r="C21" s="130">
        <v>4815901</v>
      </c>
      <c r="D21" s="130">
        <v>664713</v>
      </c>
      <c r="E21" s="130">
        <v>54832</v>
      </c>
      <c r="F21" s="130">
        <v>3777</v>
      </c>
      <c r="G21" s="130">
        <v>64896</v>
      </c>
      <c r="H21" s="130">
        <v>31974</v>
      </c>
    </row>
    <row r="22" spans="1:9" s="44" customFormat="1" ht="10.199999999999999" x14ac:dyDescent="0.2">
      <c r="A22" s="173"/>
      <c r="B22" s="530"/>
      <c r="C22" s="530"/>
    </row>
    <row r="23" spans="1:9" x14ac:dyDescent="0.25">
      <c r="C23" s="383"/>
      <c r="D23" s="44"/>
    </row>
    <row r="24" spans="1:9" s="44" customFormat="1" x14ac:dyDescent="0.25">
      <c r="A24" s="412" t="s">
        <v>981</v>
      </c>
    </row>
    <row r="25" spans="1:9" s="44" customFormat="1" ht="10.199999999999999" x14ac:dyDescent="0.2">
      <c r="A25" s="3"/>
    </row>
    <row r="26" spans="1:9" s="44" customFormat="1" ht="10.199999999999999" x14ac:dyDescent="0.2">
      <c r="A26" s="173" t="s">
        <v>487</v>
      </c>
      <c r="B26" s="530"/>
      <c r="C26" s="530"/>
    </row>
    <row r="27" spans="1:9" s="44" customFormat="1" ht="10.199999999999999" x14ac:dyDescent="0.2">
      <c r="A27" s="171"/>
      <c r="B27" s="172"/>
      <c r="C27" s="172"/>
    </row>
    <row r="28" spans="1:9" s="44" customFormat="1" ht="10.199999999999999" x14ac:dyDescent="0.2">
      <c r="A28" s="103" t="s">
        <v>353</v>
      </c>
      <c r="B28" s="461">
        <f>B6</f>
        <v>43465</v>
      </c>
      <c r="C28" s="461">
        <f>C6</f>
        <v>43100</v>
      </c>
    </row>
    <row r="29" spans="1:9" s="44" customFormat="1" ht="35.25" customHeight="1" x14ac:dyDescent="0.2">
      <c r="A29" s="91" t="s">
        <v>201</v>
      </c>
      <c r="B29" s="129">
        <v>1263203</v>
      </c>
      <c r="C29" s="129">
        <f>SUM(C30:C37)</f>
        <v>1564408</v>
      </c>
    </row>
    <row r="30" spans="1:9" s="44" customFormat="1" ht="10.199999999999999" x14ac:dyDescent="0.2">
      <c r="A30" s="175" t="s">
        <v>527</v>
      </c>
      <c r="B30" s="209">
        <v>152331</v>
      </c>
      <c r="C30" s="209">
        <v>679274</v>
      </c>
    </row>
    <row r="31" spans="1:9" s="44" customFormat="1" ht="10.199999999999999" x14ac:dyDescent="0.2">
      <c r="A31" s="175" t="s">
        <v>528</v>
      </c>
      <c r="B31" s="209">
        <v>13648</v>
      </c>
      <c r="C31" s="209">
        <v>19797</v>
      </c>
    </row>
    <row r="32" spans="1:9" s="44" customFormat="1" ht="10.199999999999999" x14ac:dyDescent="0.2">
      <c r="A32" s="175" t="s">
        <v>529</v>
      </c>
      <c r="B32" s="209">
        <v>299606</v>
      </c>
      <c r="C32" s="209">
        <v>194573</v>
      </c>
    </row>
    <row r="33" spans="1:3" s="44" customFormat="1" ht="10.199999999999999" x14ac:dyDescent="0.2">
      <c r="A33" s="175" t="s">
        <v>745</v>
      </c>
      <c r="B33" s="209">
        <v>8875</v>
      </c>
      <c r="C33" s="209">
        <v>10311</v>
      </c>
    </row>
    <row r="34" spans="1:3" s="44" customFormat="1" ht="10.199999999999999" x14ac:dyDescent="0.2">
      <c r="A34" s="175" t="s">
        <v>490</v>
      </c>
      <c r="B34" s="209">
        <v>788743</v>
      </c>
      <c r="C34" s="209">
        <v>660453</v>
      </c>
    </row>
    <row r="35" spans="1:3" s="44" customFormat="1" ht="10.199999999999999" x14ac:dyDescent="0.2">
      <c r="A35" s="175" t="s">
        <v>492</v>
      </c>
      <c r="B35" s="209">
        <v>0</v>
      </c>
      <c r="C35" s="209">
        <v>0</v>
      </c>
    </row>
    <row r="36" spans="1:3" s="44" customFormat="1" ht="10.199999999999999" x14ac:dyDescent="0.2">
      <c r="A36" s="175" t="s">
        <v>491</v>
      </c>
      <c r="B36" s="209">
        <v>0</v>
      </c>
      <c r="C36" s="209">
        <v>0</v>
      </c>
    </row>
    <row r="37" spans="1:3" s="44" customFormat="1" ht="10.199999999999999" x14ac:dyDescent="0.2">
      <c r="A37" s="175" t="s">
        <v>578</v>
      </c>
      <c r="B37" s="209">
        <v>0</v>
      </c>
      <c r="C37" s="209">
        <v>0</v>
      </c>
    </row>
    <row r="38" spans="1:3" s="44" customFormat="1" ht="10.199999999999999" x14ac:dyDescent="0.2">
      <c r="A38" s="151" t="s">
        <v>530</v>
      </c>
      <c r="B38" s="129">
        <f>B39+B43</f>
        <v>1859665</v>
      </c>
      <c r="C38" s="129">
        <f>SUM(C39:C43)</f>
        <v>802415</v>
      </c>
    </row>
    <row r="39" spans="1:3" s="44" customFormat="1" ht="20.399999999999999" x14ac:dyDescent="0.2">
      <c r="A39" s="175" t="s">
        <v>531</v>
      </c>
      <c r="B39" s="209">
        <v>975152</v>
      </c>
      <c r="C39" s="209">
        <v>795269</v>
      </c>
    </row>
    <row r="40" spans="1:3" s="44" customFormat="1" ht="10.199999999999999" x14ac:dyDescent="0.2">
      <c r="A40" s="175" t="s">
        <v>532</v>
      </c>
      <c r="B40" s="209">
        <v>0</v>
      </c>
      <c r="C40" s="209">
        <v>0</v>
      </c>
    </row>
    <row r="41" spans="1:3" s="44" customFormat="1" ht="23.25" customHeight="1" x14ac:dyDescent="0.2">
      <c r="A41" s="175" t="s">
        <v>533</v>
      </c>
      <c r="B41" s="209">
        <v>0</v>
      </c>
      <c r="C41" s="209">
        <v>0</v>
      </c>
    </row>
    <row r="42" spans="1:3" s="44" customFormat="1" ht="23.25" customHeight="1" x14ac:dyDescent="0.2">
      <c r="A42" s="175" t="s">
        <v>746</v>
      </c>
      <c r="B42" s="209">
        <v>0</v>
      </c>
      <c r="C42" s="209">
        <v>0</v>
      </c>
    </row>
    <row r="43" spans="1:3" s="44" customFormat="1" ht="10.199999999999999" x14ac:dyDescent="0.2">
      <c r="A43" s="175" t="s">
        <v>534</v>
      </c>
      <c r="B43" s="209">
        <f>884663-150</f>
        <v>884513</v>
      </c>
      <c r="C43" s="209">
        <v>7146</v>
      </c>
    </row>
    <row r="44" spans="1:3" s="44" customFormat="1" ht="10.199999999999999" hidden="1" x14ac:dyDescent="0.2">
      <c r="A44" s="151" t="s">
        <v>493</v>
      </c>
      <c r="B44" s="129"/>
      <c r="C44" s="129"/>
    </row>
    <row r="45" spans="1:3" s="44" customFormat="1" ht="10.199999999999999" x14ac:dyDescent="0.2">
      <c r="A45" s="149" t="s">
        <v>220</v>
      </c>
      <c r="B45" s="92">
        <f>B29+B38</f>
        <v>3122868</v>
      </c>
      <c r="C45" s="92">
        <f>C29+C38+C44</f>
        <v>2366823</v>
      </c>
    </row>
    <row r="46" spans="1:3" s="44" customFormat="1" ht="10.199999999999999" x14ac:dyDescent="0.2">
      <c r="B46" s="320">
        <f>B45-Pasywa!D26</f>
        <v>0</v>
      </c>
      <c r="C46" s="320">
        <f>C45-Pasywa!E26</f>
        <v>0</v>
      </c>
    </row>
  </sheetData>
  <mergeCells count="5">
    <mergeCell ref="A12:G12"/>
    <mergeCell ref="D14:H14"/>
    <mergeCell ref="A14:A15"/>
    <mergeCell ref="B14:B15"/>
    <mergeCell ref="C14:C15"/>
  </mergeCells>
  <phoneticPr fontId="30" type="noConversion"/>
  <pageMargins left="0.75" right="0.75" top="1" bottom="1" header="0.5" footer="0.5"/>
  <pageSetup paperSize="9" scale="6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6"/>
  <sheetViews>
    <sheetView showGridLines="0" view="pageBreakPreview" zoomScaleNormal="100" zoomScaleSheetLayoutView="100" workbookViewId="0">
      <selection activeCell="A19" sqref="A19"/>
    </sheetView>
  </sheetViews>
  <sheetFormatPr defaultColWidth="9.21875" defaultRowHeight="13.2" x14ac:dyDescent="0.25"/>
  <cols>
    <col min="1" max="1" width="50.44140625" customWidth="1"/>
    <col min="2" max="5" width="16.5546875" customWidth="1"/>
    <col min="7" max="7" width="10" customWidth="1"/>
    <col min="8" max="8" width="10.21875" customWidth="1"/>
    <col min="9" max="9" width="10.44140625" customWidth="1"/>
  </cols>
  <sheetData>
    <row r="1" spans="1:3" x14ac:dyDescent="0.25">
      <c r="A1" s="38"/>
    </row>
    <row r="2" spans="1:3" s="1" customFormat="1" x14ac:dyDescent="0.25">
      <c r="A2" s="412" t="s">
        <v>982</v>
      </c>
    </row>
    <row r="3" spans="1:3" s="1" customFormat="1" ht="10.199999999999999" x14ac:dyDescent="0.2"/>
    <row r="4" spans="1:3" s="1" customFormat="1" ht="10.199999999999999" x14ac:dyDescent="0.2">
      <c r="A4" s="115" t="s">
        <v>353</v>
      </c>
      <c r="B4" s="461">
        <f>'Dane podstawowe'!$B$9</f>
        <v>43465</v>
      </c>
      <c r="C4" s="461">
        <f>'Dane podstawowe'!$B$14</f>
        <v>43100</v>
      </c>
    </row>
    <row r="5" spans="1:3" s="1" customFormat="1" ht="10.199999999999999" x14ac:dyDescent="0.2">
      <c r="A5" s="176" t="s">
        <v>696</v>
      </c>
      <c r="B5" s="92">
        <f>SUM(B6:B11)</f>
        <v>507954</v>
      </c>
      <c r="C5" s="92">
        <f>SUM(C6:C11)</f>
        <v>253960</v>
      </c>
    </row>
    <row r="6" spans="1:3" s="44" customFormat="1" ht="10.199999999999999" x14ac:dyDescent="0.2">
      <c r="A6" s="46" t="s">
        <v>125</v>
      </c>
      <c r="B6" s="209">
        <v>90513</v>
      </c>
      <c r="C6" s="209">
        <v>0</v>
      </c>
    </row>
    <row r="7" spans="1:3" s="44" customFormat="1" ht="10.199999999999999" x14ac:dyDescent="0.2">
      <c r="A7" s="46" t="s">
        <v>880</v>
      </c>
      <c r="B7" s="209">
        <v>338676</v>
      </c>
      <c r="C7" s="209">
        <v>0</v>
      </c>
    </row>
    <row r="8" spans="1:3" s="1" customFormat="1" ht="10.199999999999999" x14ac:dyDescent="0.2">
      <c r="A8" s="46" t="s">
        <v>881</v>
      </c>
      <c r="B8" s="209">
        <v>77265</v>
      </c>
      <c r="C8" s="209">
        <v>155253</v>
      </c>
    </row>
    <row r="9" spans="1:3" s="44" customFormat="1" ht="10.199999999999999" hidden="1" x14ac:dyDescent="0.2">
      <c r="A9" s="49" t="s">
        <v>694</v>
      </c>
      <c r="B9" s="209"/>
      <c r="C9" s="209"/>
    </row>
    <row r="10" spans="1:3" s="44" customFormat="1" ht="10.199999999999999" x14ac:dyDescent="0.2">
      <c r="A10" s="46" t="s">
        <v>829</v>
      </c>
      <c r="B10" s="209">
        <v>0</v>
      </c>
      <c r="C10" s="209">
        <v>98707</v>
      </c>
    </row>
    <row r="11" spans="1:3" s="41" customFormat="1" ht="10.199999999999999" x14ac:dyDescent="0.2">
      <c r="A11" s="46" t="s">
        <v>814</v>
      </c>
      <c r="B11" s="209">
        <v>1500</v>
      </c>
      <c r="C11" s="209">
        <v>0</v>
      </c>
    </row>
    <row r="12" spans="1:3" s="1" customFormat="1" ht="10.199999999999999" x14ac:dyDescent="0.2">
      <c r="A12" s="56" t="s">
        <v>696</v>
      </c>
      <c r="B12" s="92">
        <f>B5</f>
        <v>507954</v>
      </c>
      <c r="C12" s="92">
        <f>C5</f>
        <v>253960</v>
      </c>
    </row>
    <row r="13" spans="1:3" s="1" customFormat="1" ht="10.199999999999999" x14ac:dyDescent="0.2">
      <c r="A13" s="55" t="s">
        <v>419</v>
      </c>
      <c r="B13" s="209">
        <v>0</v>
      </c>
      <c r="C13" s="209">
        <v>0</v>
      </c>
    </row>
    <row r="14" spans="1:3" s="1" customFormat="1" ht="10.199999999999999" x14ac:dyDescent="0.2">
      <c r="A14" s="55" t="s">
        <v>418</v>
      </c>
      <c r="B14" s="209">
        <v>507954</v>
      </c>
      <c r="C14" s="209">
        <v>253960</v>
      </c>
    </row>
    <row r="15" spans="1:3" s="1" customFormat="1" ht="10.199999999999999" x14ac:dyDescent="0.2">
      <c r="B15" s="315">
        <f>Pasywa!D27-'NOTA 27- RMP'!B12+Pasywa!D18</f>
        <v>0</v>
      </c>
      <c r="C15" s="315">
        <f>Pasywa!E27-'NOTA 27- RMP'!C12+Pasywa!E18</f>
        <v>0</v>
      </c>
    </row>
    <row r="16" spans="1:3" s="1" customFormat="1" ht="10.199999999999999" x14ac:dyDescent="0.2"/>
  </sheetData>
  <phoneticPr fontId="33" type="noConversion"/>
  <pageMargins left="0.7" right="0.7" top="0.75" bottom="0.75" header="0.3" footer="0.3"/>
  <pageSetup paperSize="9" scale="68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/>
  <dimension ref="A1:E73"/>
  <sheetViews>
    <sheetView showGridLines="0" view="pageBreakPreview" topLeftCell="A49" zoomScaleNormal="100" zoomScaleSheetLayoutView="100" workbookViewId="0">
      <selection activeCell="A31" sqref="A31"/>
    </sheetView>
  </sheetViews>
  <sheetFormatPr defaultColWidth="9.21875" defaultRowHeight="10.199999999999999" x14ac:dyDescent="0.2"/>
  <cols>
    <col min="1" max="1" width="54.77734375" style="41" customWidth="1"/>
    <col min="2" max="2" width="15" style="41" customWidth="1"/>
    <col min="3" max="3" width="14.5546875" style="41" customWidth="1"/>
    <col min="4" max="4" width="14.21875" style="41" customWidth="1"/>
    <col min="5" max="5" width="12.5546875" style="41" customWidth="1"/>
    <col min="6" max="6" width="9.21875" style="41"/>
    <col min="7" max="7" width="19" style="41" customWidth="1"/>
    <col min="8" max="16384" width="9.21875" style="41"/>
  </cols>
  <sheetData>
    <row r="1" spans="1:5" s="44" customFormat="1" x14ac:dyDescent="0.2">
      <c r="A1" s="180"/>
    </row>
    <row r="2" spans="1:5" ht="13.2" x14ac:dyDescent="0.25">
      <c r="A2" s="412" t="s">
        <v>983</v>
      </c>
    </row>
    <row r="4" spans="1:5" s="1" customFormat="1" x14ac:dyDescent="0.2">
      <c r="A4" s="240"/>
      <c r="B4" s="461">
        <f>Pasywa!D2</f>
        <v>43465</v>
      </c>
      <c r="C4" s="461">
        <f>Pasywa!E2</f>
        <v>43100</v>
      </c>
    </row>
    <row r="5" spans="1:5" s="1" customFormat="1" x14ac:dyDescent="0.2">
      <c r="A5" s="226" t="s">
        <v>311</v>
      </c>
      <c r="B5" s="237">
        <v>0</v>
      </c>
      <c r="C5" s="237">
        <v>0</v>
      </c>
    </row>
    <row r="6" spans="1:5" s="1" customFormat="1" x14ac:dyDescent="0.2">
      <c r="A6" s="226" t="s">
        <v>17</v>
      </c>
      <c r="B6" s="237">
        <v>0</v>
      </c>
      <c r="C6" s="237">
        <v>0</v>
      </c>
    </row>
    <row r="7" spans="1:5" s="1" customFormat="1" x14ac:dyDescent="0.2">
      <c r="A7" s="226" t="s">
        <v>18</v>
      </c>
      <c r="B7" s="237">
        <v>143416</v>
      </c>
      <c r="C7" s="237">
        <v>328996</v>
      </c>
      <c r="D7" s="248"/>
    </row>
    <row r="8" spans="1:5" s="1" customFormat="1" x14ac:dyDescent="0.2">
      <c r="A8" s="226" t="s">
        <v>19</v>
      </c>
      <c r="B8" s="237">
        <v>4601</v>
      </c>
      <c r="C8" s="237">
        <v>4601</v>
      </c>
    </row>
    <row r="9" spans="1:5" x14ac:dyDescent="0.2">
      <c r="A9" s="50" t="s">
        <v>20</v>
      </c>
      <c r="B9" s="45">
        <f>SUM(B5:B8)</f>
        <v>148017</v>
      </c>
      <c r="C9" s="45">
        <f>SUM(C5:C8)</f>
        <v>333597</v>
      </c>
    </row>
    <row r="10" spans="1:5" x14ac:dyDescent="0.2">
      <c r="A10" s="205" t="s">
        <v>83</v>
      </c>
      <c r="B10" s="236">
        <v>0</v>
      </c>
      <c r="C10" s="236">
        <v>0</v>
      </c>
    </row>
    <row r="11" spans="1:5" x14ac:dyDescent="0.2">
      <c r="A11" s="205" t="s">
        <v>84</v>
      </c>
      <c r="B11" s="236">
        <f>B9</f>
        <v>148017</v>
      </c>
      <c r="C11" s="236">
        <v>333597</v>
      </c>
    </row>
    <row r="12" spans="1:5" x14ac:dyDescent="0.2">
      <c r="B12" s="310">
        <f>(Pasywa!D19+Pasywa!D28)-'NOTA 28,29 - Rezerwy'!B9</f>
        <v>0</v>
      </c>
      <c r="C12" s="310">
        <f>(Pasywa!E19+Pasywa!E28)-'NOTA 28,29 - Rezerwy'!C9</f>
        <v>0</v>
      </c>
    </row>
    <row r="13" spans="1:5" x14ac:dyDescent="0.2">
      <c r="B13" s="227"/>
      <c r="C13" s="227"/>
    </row>
    <row r="14" spans="1:5" x14ac:dyDescent="0.2">
      <c r="A14" s="631" t="s">
        <v>389</v>
      </c>
    </row>
    <row r="16" spans="1:5" s="42" customFormat="1" ht="40.799999999999997" x14ac:dyDescent="0.25">
      <c r="A16" s="536"/>
      <c r="B16" s="73" t="s">
        <v>311</v>
      </c>
      <c r="C16" s="73" t="s">
        <v>17</v>
      </c>
      <c r="D16" s="73" t="s">
        <v>18</v>
      </c>
      <c r="E16" s="73" t="s">
        <v>21</v>
      </c>
    </row>
    <row r="17" spans="1:5" s="52" customFormat="1" x14ac:dyDescent="0.2">
      <c r="A17" s="57" t="s">
        <v>844</v>
      </c>
      <c r="B17" s="45">
        <v>0</v>
      </c>
      <c r="C17" s="45">
        <f>C28</f>
        <v>0</v>
      </c>
      <c r="D17" s="45">
        <f>D28</f>
        <v>328996</v>
      </c>
      <c r="E17" s="45">
        <f>E28</f>
        <v>4601</v>
      </c>
    </row>
    <row r="18" spans="1:5" x14ac:dyDescent="0.2">
      <c r="A18" s="234" t="s">
        <v>22</v>
      </c>
      <c r="B18" s="236">
        <v>0</v>
      </c>
      <c r="C18" s="236">
        <v>0</v>
      </c>
      <c r="D18" s="236">
        <v>148017</v>
      </c>
      <c r="E18" s="241">
        <v>311144</v>
      </c>
    </row>
    <row r="19" spans="1:5" x14ac:dyDescent="0.2">
      <c r="A19" s="234" t="s">
        <v>410</v>
      </c>
      <c r="B19" s="236">
        <v>0</v>
      </c>
      <c r="C19" s="236">
        <v>0</v>
      </c>
      <c r="D19" s="236">
        <v>6218</v>
      </c>
      <c r="E19" s="241">
        <v>0</v>
      </c>
    </row>
    <row r="20" spans="1:5" x14ac:dyDescent="0.2">
      <c r="A20" s="234" t="s">
        <v>411</v>
      </c>
      <c r="B20" s="236">
        <v>0</v>
      </c>
      <c r="C20" s="236">
        <v>0</v>
      </c>
      <c r="D20" s="236">
        <v>327379</v>
      </c>
      <c r="E20" s="241">
        <v>311144</v>
      </c>
    </row>
    <row r="21" spans="1:5" s="52" customFormat="1" x14ac:dyDescent="0.2">
      <c r="A21" s="57" t="s">
        <v>845</v>
      </c>
      <c r="B21" s="45">
        <f>B17+B18-B19-B20</f>
        <v>0</v>
      </c>
      <c r="C21" s="45">
        <f>C17+C18-C19-C20</f>
        <v>0</v>
      </c>
      <c r="D21" s="45">
        <f>D17+D18-D19-D20</f>
        <v>143416</v>
      </c>
      <c r="E21" s="45">
        <f>E17+E18-E19-E20</f>
        <v>4601</v>
      </c>
    </row>
    <row r="22" spans="1:5" x14ac:dyDescent="0.2">
      <c r="A22" s="205" t="s">
        <v>83</v>
      </c>
      <c r="B22" s="236">
        <v>0</v>
      </c>
      <c r="C22" s="236">
        <v>0</v>
      </c>
      <c r="D22" s="236">
        <v>0</v>
      </c>
      <c r="E22" s="241">
        <v>0</v>
      </c>
    </row>
    <row r="23" spans="1:5" x14ac:dyDescent="0.2">
      <c r="A23" s="205" t="s">
        <v>84</v>
      </c>
      <c r="B23" s="236">
        <v>0</v>
      </c>
      <c r="C23" s="236">
        <v>0</v>
      </c>
      <c r="D23" s="236">
        <f>D21</f>
        <v>143416</v>
      </c>
      <c r="E23" s="236">
        <f>E21</f>
        <v>4601</v>
      </c>
    </row>
    <row r="24" spans="1:5" s="52" customFormat="1" x14ac:dyDescent="0.2">
      <c r="A24" s="57" t="s">
        <v>846</v>
      </c>
      <c r="B24" s="92">
        <v>0</v>
      </c>
      <c r="C24" s="92">
        <v>0</v>
      </c>
      <c r="D24" s="92">
        <v>200380</v>
      </c>
      <c r="E24" s="92">
        <v>0</v>
      </c>
    </row>
    <row r="25" spans="1:5" x14ac:dyDescent="0.2">
      <c r="A25" s="234" t="s">
        <v>22</v>
      </c>
      <c r="B25" s="214">
        <v>0</v>
      </c>
      <c r="C25" s="214">
        <v>0</v>
      </c>
      <c r="D25" s="214">
        <v>213921</v>
      </c>
      <c r="E25" s="214">
        <v>4601</v>
      </c>
    </row>
    <row r="26" spans="1:5" x14ac:dyDescent="0.2">
      <c r="A26" s="234" t="s">
        <v>410</v>
      </c>
      <c r="B26" s="214">
        <v>0</v>
      </c>
      <c r="C26" s="214">
        <v>0</v>
      </c>
      <c r="D26" s="214">
        <v>0</v>
      </c>
      <c r="E26" s="214">
        <v>0</v>
      </c>
    </row>
    <row r="27" spans="1:5" x14ac:dyDescent="0.2">
      <c r="A27" s="234" t="s">
        <v>411</v>
      </c>
      <c r="B27" s="214">
        <v>0</v>
      </c>
      <c r="C27" s="214">
        <v>0</v>
      </c>
      <c r="D27" s="214">
        <v>85305</v>
      </c>
      <c r="E27" s="214">
        <v>0</v>
      </c>
    </row>
    <row r="28" spans="1:5" s="52" customFormat="1" x14ac:dyDescent="0.2">
      <c r="A28" s="57" t="s">
        <v>797</v>
      </c>
      <c r="B28" s="92">
        <f>B24+B25-B26-B27</f>
        <v>0</v>
      </c>
      <c r="C28" s="92">
        <f>C24+C25-C26-C27</f>
        <v>0</v>
      </c>
      <c r="D28" s="92">
        <f>D24+D25-D26-D27</f>
        <v>328996</v>
      </c>
      <c r="E28" s="92">
        <f>E24+E25-E26-E27</f>
        <v>4601</v>
      </c>
    </row>
    <row r="29" spans="1:5" x14ac:dyDescent="0.2">
      <c r="A29" s="205" t="s">
        <v>83</v>
      </c>
      <c r="B29" s="214">
        <v>0</v>
      </c>
      <c r="C29" s="214">
        <v>0</v>
      </c>
      <c r="D29" s="214">
        <v>0</v>
      </c>
      <c r="E29" s="214">
        <v>0</v>
      </c>
    </row>
    <row r="30" spans="1:5" x14ac:dyDescent="0.2">
      <c r="A30" s="205" t="s">
        <v>84</v>
      </c>
      <c r="B30" s="214">
        <v>0</v>
      </c>
      <c r="C30" s="214">
        <v>0</v>
      </c>
      <c r="D30" s="214">
        <v>328996</v>
      </c>
      <c r="E30" s="214">
        <v>4601</v>
      </c>
    </row>
    <row r="35" spans="1:4" s="44" customFormat="1" ht="13.2" x14ac:dyDescent="0.25">
      <c r="A35" s="412" t="s">
        <v>984</v>
      </c>
    </row>
    <row r="36" spans="1:4" s="370" customFormat="1" x14ac:dyDescent="0.2"/>
    <row r="37" spans="1:4" s="44" customFormat="1" x14ac:dyDescent="0.2">
      <c r="A37" s="385"/>
      <c r="B37" s="461">
        <f>B4</f>
        <v>43465</v>
      </c>
      <c r="C37" s="461">
        <f>C4</f>
        <v>43100</v>
      </c>
    </row>
    <row r="38" spans="1:4" s="44" customFormat="1" x14ac:dyDescent="0.2">
      <c r="A38" s="46" t="s">
        <v>763</v>
      </c>
      <c r="B38" s="78">
        <v>0</v>
      </c>
      <c r="C38" s="78">
        <v>0</v>
      </c>
    </row>
    <row r="39" spans="1:4" s="44" customFormat="1" x14ac:dyDescent="0.2">
      <c r="A39" s="46" t="s">
        <v>695</v>
      </c>
      <c r="B39" s="78">
        <v>56000</v>
      </c>
      <c r="C39" s="78">
        <v>29000</v>
      </c>
    </row>
    <row r="40" spans="1:4" s="44" customFormat="1" x14ac:dyDescent="0.2">
      <c r="A40" s="46" t="s">
        <v>692</v>
      </c>
      <c r="B40" s="78">
        <v>0</v>
      </c>
      <c r="C40" s="78">
        <v>0</v>
      </c>
    </row>
    <row r="41" spans="1:4" s="44" customFormat="1" x14ac:dyDescent="0.2">
      <c r="A41" s="46" t="s">
        <v>693</v>
      </c>
      <c r="B41" s="78">
        <v>32000</v>
      </c>
      <c r="C41" s="78">
        <v>0</v>
      </c>
    </row>
    <row r="42" spans="1:4" s="44" customFormat="1" hidden="1" x14ac:dyDescent="0.2">
      <c r="A42" s="49" t="s">
        <v>294</v>
      </c>
      <c r="B42" s="78"/>
      <c r="C42" s="78"/>
    </row>
    <row r="43" spans="1:4" s="44" customFormat="1" x14ac:dyDescent="0.2">
      <c r="A43" s="50" t="s">
        <v>20</v>
      </c>
      <c r="B43" s="45">
        <f>SUM(B38:B42)</f>
        <v>88000</v>
      </c>
      <c r="C43" s="45">
        <f>SUM(C38:C42)</f>
        <v>29000</v>
      </c>
    </row>
    <row r="44" spans="1:4" s="44" customFormat="1" x14ac:dyDescent="0.2">
      <c r="A44" s="46" t="s">
        <v>83</v>
      </c>
      <c r="B44" s="78">
        <v>0</v>
      </c>
      <c r="C44" s="78">
        <v>0</v>
      </c>
    </row>
    <row r="45" spans="1:4" s="44" customFormat="1" x14ac:dyDescent="0.2">
      <c r="A45" s="46" t="s">
        <v>84</v>
      </c>
      <c r="B45" s="78">
        <v>88000</v>
      </c>
      <c r="C45" s="78">
        <v>29000</v>
      </c>
    </row>
    <row r="46" spans="1:4" s="44" customFormat="1" x14ac:dyDescent="0.2">
      <c r="B46" s="320">
        <f>(Pasywa!$D$20+Pasywa!$D$29)-B43</f>
        <v>0</v>
      </c>
      <c r="C46" s="320">
        <f>(Pasywa!$E$20+Pasywa!$E$29)-C43</f>
        <v>0</v>
      </c>
    </row>
    <row r="47" spans="1:4" s="44" customFormat="1" x14ac:dyDescent="0.2">
      <c r="B47" s="383"/>
      <c r="C47" s="383"/>
      <c r="D47" s="52"/>
    </row>
    <row r="48" spans="1:4" x14ac:dyDescent="0.2">
      <c r="A48" s="52" t="s">
        <v>389</v>
      </c>
    </row>
    <row r="50" spans="1:5" s="32" customFormat="1" ht="63" customHeight="1" x14ac:dyDescent="0.25">
      <c r="A50" s="128" t="s">
        <v>353</v>
      </c>
      <c r="B50" s="118" t="s">
        <v>831</v>
      </c>
      <c r="C50" s="118" t="s">
        <v>695</v>
      </c>
      <c r="D50" s="118" t="s">
        <v>521</v>
      </c>
      <c r="E50" s="118" t="s">
        <v>417</v>
      </c>
    </row>
    <row r="51" spans="1:5" s="52" customFormat="1" x14ac:dyDescent="0.2">
      <c r="A51" s="57" t="s">
        <v>844</v>
      </c>
      <c r="B51" s="80">
        <f>B66</f>
        <v>0</v>
      </c>
      <c r="C51" s="80">
        <f>C66</f>
        <v>29000</v>
      </c>
      <c r="D51" s="80">
        <f>D66</f>
        <v>0</v>
      </c>
      <c r="E51" s="80">
        <f>SUM(B51:D51)</f>
        <v>29000</v>
      </c>
    </row>
    <row r="52" spans="1:5" s="204" customFormat="1" x14ac:dyDescent="0.2">
      <c r="A52" s="2" t="s">
        <v>522</v>
      </c>
      <c r="B52" s="81"/>
      <c r="C52" s="81">
        <v>56000</v>
      </c>
      <c r="D52" s="81">
        <v>32000</v>
      </c>
      <c r="E52" s="81">
        <f>SUM(B52:D52)</f>
        <v>88000</v>
      </c>
    </row>
    <row r="53" spans="1:5" s="1" customFormat="1" x14ac:dyDescent="0.2">
      <c r="A53" s="2" t="s">
        <v>412</v>
      </c>
      <c r="B53" s="81"/>
      <c r="C53" s="81">
        <v>29000</v>
      </c>
      <c r="D53" s="81">
        <v>0</v>
      </c>
      <c r="E53" s="81">
        <f>SUM(B53:D53)</f>
        <v>29000</v>
      </c>
    </row>
    <row r="54" spans="1:5" s="204" customFormat="1" x14ac:dyDescent="0.2">
      <c r="A54" s="2" t="s">
        <v>413</v>
      </c>
      <c r="B54" s="81">
        <v>0</v>
      </c>
      <c r="C54" s="81">
        <v>0</v>
      </c>
      <c r="D54" s="81">
        <v>0</v>
      </c>
      <c r="E54" s="81">
        <v>0</v>
      </c>
    </row>
    <row r="55" spans="1:5" s="1" customFormat="1" x14ac:dyDescent="0.2">
      <c r="A55" s="2" t="s">
        <v>523</v>
      </c>
      <c r="B55" s="81">
        <v>0</v>
      </c>
      <c r="C55" s="81">
        <v>0</v>
      </c>
      <c r="D55" s="81">
        <v>0</v>
      </c>
      <c r="E55" s="81">
        <v>0</v>
      </c>
    </row>
    <row r="56" spans="1:5" s="204" customFormat="1" x14ac:dyDescent="0.2">
      <c r="A56" s="2" t="s">
        <v>524</v>
      </c>
      <c r="B56" s="81">
        <v>0</v>
      </c>
      <c r="C56" s="81">
        <v>0</v>
      </c>
      <c r="D56" s="81">
        <v>0</v>
      </c>
      <c r="E56" s="81">
        <v>0</v>
      </c>
    </row>
    <row r="57" spans="1:5" s="52" customFormat="1" x14ac:dyDescent="0.2">
      <c r="A57" s="57" t="s">
        <v>847</v>
      </c>
      <c r="B57" s="80">
        <f>B51+B52-B53-B54+B55+B56</f>
        <v>0</v>
      </c>
      <c r="C57" s="80">
        <f>C51+C52-C53-C54+C55+C56</f>
        <v>56000</v>
      </c>
      <c r="D57" s="80">
        <f>D51+D52-D53-D54+D55+D56</f>
        <v>32000</v>
      </c>
      <c r="E57" s="80">
        <f t="shared" ref="E57:E60" si="0">SUM(B57:D57)</f>
        <v>88000</v>
      </c>
    </row>
    <row r="58" spans="1:5" s="204" customFormat="1" x14ac:dyDescent="0.2">
      <c r="A58" s="46" t="s">
        <v>83</v>
      </c>
      <c r="B58" s="81">
        <v>0</v>
      </c>
      <c r="C58" s="81">
        <v>0</v>
      </c>
      <c r="D58" s="81">
        <v>0</v>
      </c>
      <c r="E58" s="81">
        <f t="shared" si="0"/>
        <v>0</v>
      </c>
    </row>
    <row r="59" spans="1:5" s="1" customFormat="1" x14ac:dyDescent="0.2">
      <c r="A59" s="46" t="s">
        <v>84</v>
      </c>
      <c r="B59" s="81">
        <v>0</v>
      </c>
      <c r="C59" s="81">
        <v>56000</v>
      </c>
      <c r="D59" s="81">
        <v>32000</v>
      </c>
      <c r="E59" s="81">
        <f t="shared" si="0"/>
        <v>88000</v>
      </c>
    </row>
    <row r="60" spans="1:5" s="52" customFormat="1" x14ac:dyDescent="0.2">
      <c r="A60" s="57" t="s">
        <v>796</v>
      </c>
      <c r="B60" s="80">
        <v>220000</v>
      </c>
      <c r="C60" s="80">
        <v>21400</v>
      </c>
      <c r="D60" s="80">
        <v>0</v>
      </c>
      <c r="E60" s="80">
        <f t="shared" si="0"/>
        <v>241400</v>
      </c>
    </row>
    <row r="61" spans="1:5" s="1" customFormat="1" x14ac:dyDescent="0.2">
      <c r="A61" s="2" t="s">
        <v>522</v>
      </c>
      <c r="B61" s="81">
        <v>766413</v>
      </c>
      <c r="C61" s="81">
        <v>45000</v>
      </c>
      <c r="D61" s="81">
        <v>0</v>
      </c>
      <c r="E61" s="81">
        <f>SUM(B61:D61)</f>
        <v>811413</v>
      </c>
    </row>
    <row r="62" spans="1:5" s="204" customFormat="1" x14ac:dyDescent="0.2">
      <c r="A62" s="2" t="s">
        <v>412</v>
      </c>
      <c r="B62" s="81">
        <v>986413</v>
      </c>
      <c r="C62" s="81">
        <v>37400</v>
      </c>
      <c r="D62" s="81">
        <v>0</v>
      </c>
      <c r="E62" s="81">
        <f>SUM(B62:D62)</f>
        <v>1023813</v>
      </c>
    </row>
    <row r="63" spans="1:5" s="1" customFormat="1" x14ac:dyDescent="0.2">
      <c r="A63" s="2" t="s">
        <v>413</v>
      </c>
      <c r="B63" s="81">
        <v>0</v>
      </c>
      <c r="C63" s="81">
        <v>0</v>
      </c>
      <c r="D63" s="81">
        <v>0</v>
      </c>
      <c r="E63" s="81">
        <f>SUM(B63:D63)</f>
        <v>0</v>
      </c>
    </row>
    <row r="64" spans="1:5" s="204" customFormat="1" x14ac:dyDescent="0.2">
      <c r="A64" s="2" t="s">
        <v>523</v>
      </c>
      <c r="B64" s="81">
        <v>0</v>
      </c>
      <c r="C64" s="81">
        <v>0</v>
      </c>
      <c r="D64" s="81">
        <v>0</v>
      </c>
      <c r="E64" s="81">
        <f>SUM(B64:D64)</f>
        <v>0</v>
      </c>
    </row>
    <row r="65" spans="1:5" s="1" customFormat="1" x14ac:dyDescent="0.2">
      <c r="A65" s="2" t="s">
        <v>524</v>
      </c>
      <c r="B65" s="81">
        <v>0</v>
      </c>
      <c r="C65" s="81">
        <v>0</v>
      </c>
      <c r="D65" s="81">
        <v>0</v>
      </c>
      <c r="E65" s="81">
        <f>SUM(B65:D65)</f>
        <v>0</v>
      </c>
    </row>
    <row r="66" spans="1:5" s="52" customFormat="1" x14ac:dyDescent="0.2">
      <c r="A66" s="57" t="s">
        <v>798</v>
      </c>
      <c r="B66" s="80">
        <f>B60+B61-B62-B63+B64+B65</f>
        <v>0</v>
      </c>
      <c r="C66" s="80">
        <f>C60+C61-C62-C63+C64+C65</f>
        <v>29000</v>
      </c>
      <c r="D66" s="80">
        <f>D60+D61-D62-D63+D64+D65</f>
        <v>0</v>
      </c>
      <c r="E66" s="80">
        <f>E60+E61-E62-E63+E64+E65</f>
        <v>29000</v>
      </c>
    </row>
    <row r="67" spans="1:5" s="204" customFormat="1" x14ac:dyDescent="0.2">
      <c r="A67" s="46" t="s">
        <v>83</v>
      </c>
      <c r="B67" s="209">
        <v>0</v>
      </c>
      <c r="C67" s="209"/>
      <c r="D67" s="209">
        <v>0</v>
      </c>
      <c r="E67" s="81">
        <f>SUM(B67:D67)</f>
        <v>0</v>
      </c>
    </row>
    <row r="68" spans="1:5" s="204" customFormat="1" x14ac:dyDescent="0.2">
      <c r="A68" s="46" t="s">
        <v>84</v>
      </c>
      <c r="B68" s="209">
        <v>0</v>
      </c>
      <c r="C68" s="209">
        <v>29000</v>
      </c>
      <c r="D68" s="209">
        <v>0</v>
      </c>
      <c r="E68" s="81">
        <f>SUM(B68:D68)</f>
        <v>29000</v>
      </c>
    </row>
    <row r="69" spans="1:5" x14ac:dyDescent="0.2">
      <c r="D69" s="471">
        <f>'Dane podstawowe'!B9</f>
        <v>43465</v>
      </c>
      <c r="E69" s="310">
        <f>(Pasywa!D20+Pasywa!D29)-'NOTA 28,29 - Rezerwy'!E57</f>
        <v>0</v>
      </c>
    </row>
    <row r="70" spans="1:5" x14ac:dyDescent="0.2">
      <c r="D70" s="471">
        <f>'Dane podstawowe'!B14</f>
        <v>43100</v>
      </c>
      <c r="E70" s="310">
        <f>(Pasywa!E20+Pasywa!E29)-'NOTA 28,29 - Rezerwy'!E66</f>
        <v>0</v>
      </c>
    </row>
    <row r="73" spans="1:5" s="44" customFormat="1" x14ac:dyDescent="0.2"/>
  </sheetData>
  <phoneticPr fontId="28" type="noConversion"/>
  <pageMargins left="0.75" right="0.75" top="1" bottom="1" header="0.5" footer="0.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rgb="FF00B0F0"/>
    <pageSetUpPr fitToPage="1"/>
  </sheetPr>
  <dimension ref="B1:I46"/>
  <sheetViews>
    <sheetView showGridLines="0" view="pageBreakPreview" zoomScaleNormal="75" zoomScaleSheetLayoutView="100" workbookViewId="0">
      <selection activeCell="F2" sqref="F2:I2"/>
    </sheetView>
  </sheetViews>
  <sheetFormatPr defaultColWidth="9.21875" defaultRowHeight="10.199999999999999" x14ac:dyDescent="0.2"/>
  <cols>
    <col min="1" max="1" width="3" style="181" customWidth="1"/>
    <col min="2" max="2" width="58.21875" style="181" customWidth="1"/>
    <col min="3" max="3" width="8.77734375" style="181" customWidth="1"/>
    <col min="4" max="5" width="22.77734375" style="181" customWidth="1"/>
    <col min="6" max="16384" width="9.21875" style="181"/>
  </cols>
  <sheetData>
    <row r="1" spans="2:9" s="179" customFormat="1" x14ac:dyDescent="0.2">
      <c r="B1" s="180"/>
    </row>
    <row r="2" spans="2:9" s="182" customFormat="1" x14ac:dyDescent="0.25">
      <c r="B2" s="192" t="s">
        <v>128</v>
      </c>
      <c r="C2" s="192" t="s">
        <v>358</v>
      </c>
      <c r="D2" s="192" t="str">
        <f>CONCATENATE("za okres ",'Dane podstawowe'!$B$7)</f>
        <v>za okres 01.01.2018-31.12.2018</v>
      </c>
      <c r="E2" s="192" t="str">
        <f>CONCATENATE("za okres ",'Dane podstawowe'!$B$12)</f>
        <v>za okres 01.01.2017-31.12.2017</v>
      </c>
      <c r="F2" s="185"/>
      <c r="G2" s="185"/>
      <c r="H2" s="185"/>
      <c r="I2" s="185"/>
    </row>
    <row r="3" spans="2:9" s="183" customFormat="1" x14ac:dyDescent="0.25">
      <c r="B3" s="193" t="s">
        <v>313</v>
      </c>
      <c r="C3" s="194" t="s">
        <v>452</v>
      </c>
      <c r="D3" s="287">
        <f>SUM(D4:D6)</f>
        <v>48334027</v>
      </c>
      <c r="E3" s="287">
        <f>SUM(E4:E6)</f>
        <v>45965990</v>
      </c>
    </row>
    <row r="4" spans="2:9" s="185" customFormat="1" x14ac:dyDescent="0.25">
      <c r="B4" s="188" t="s">
        <v>113</v>
      </c>
      <c r="C4" s="194"/>
      <c r="D4" s="421">
        <v>0</v>
      </c>
      <c r="E4" s="421">
        <v>0</v>
      </c>
    </row>
    <row r="5" spans="2:9" s="185" customFormat="1" x14ac:dyDescent="0.25">
      <c r="B5" s="188" t="s">
        <v>112</v>
      </c>
      <c r="C5" s="194"/>
      <c r="D5" s="421">
        <v>48295004</v>
      </c>
      <c r="E5" s="421">
        <v>45965990</v>
      </c>
    </row>
    <row r="6" spans="2:9" s="185" customFormat="1" x14ac:dyDescent="0.25">
      <c r="B6" s="188" t="s">
        <v>114</v>
      </c>
      <c r="C6" s="194"/>
      <c r="D6" s="421">
        <v>39023</v>
      </c>
      <c r="E6" s="421">
        <v>0</v>
      </c>
    </row>
    <row r="7" spans="2:9" s="185" customFormat="1" x14ac:dyDescent="0.25">
      <c r="B7" s="193" t="s">
        <v>654</v>
      </c>
      <c r="C7" s="194" t="s">
        <v>475</v>
      </c>
      <c r="D7" s="289">
        <f>SUM(D8:D15)</f>
        <v>46145934</v>
      </c>
      <c r="E7" s="289">
        <f>SUM(E8:E15)</f>
        <v>41477882</v>
      </c>
    </row>
    <row r="8" spans="2:9" s="183" customFormat="1" x14ac:dyDescent="0.25">
      <c r="B8" s="386" t="s">
        <v>32</v>
      </c>
      <c r="C8" s="194"/>
      <c r="D8" s="292">
        <v>2486849</v>
      </c>
      <c r="E8" s="292">
        <v>1380582</v>
      </c>
    </row>
    <row r="9" spans="2:9" s="185" customFormat="1" x14ac:dyDescent="0.25">
      <c r="B9" s="386" t="s">
        <v>655</v>
      </c>
      <c r="C9" s="194"/>
      <c r="D9" s="421">
        <v>427731</v>
      </c>
      <c r="E9" s="421">
        <v>388516</v>
      </c>
    </row>
    <row r="10" spans="2:9" s="185" customFormat="1" x14ac:dyDescent="0.25">
      <c r="B10" s="386" t="s">
        <v>656</v>
      </c>
      <c r="C10" s="194"/>
      <c r="D10" s="292">
        <v>27139847</v>
      </c>
      <c r="E10" s="292">
        <v>26621282</v>
      </c>
    </row>
    <row r="11" spans="2:9" s="185" customFormat="1" x14ac:dyDescent="0.25">
      <c r="B11" s="386" t="s">
        <v>657</v>
      </c>
      <c r="C11" s="194"/>
      <c r="D11" s="292">
        <v>216240</v>
      </c>
      <c r="E11" s="292">
        <v>155970</v>
      </c>
    </row>
    <row r="12" spans="2:9" s="185" customFormat="1" x14ac:dyDescent="0.25">
      <c r="B12" s="386" t="s">
        <v>229</v>
      </c>
      <c r="C12" s="194"/>
      <c r="D12" s="292">
        <v>12623987</v>
      </c>
      <c r="E12" s="292">
        <v>10058184</v>
      </c>
    </row>
    <row r="13" spans="2:9" s="185" customFormat="1" x14ac:dyDescent="0.25">
      <c r="B13" s="386" t="s">
        <v>658</v>
      </c>
      <c r="C13" s="194"/>
      <c r="D13" s="292">
        <v>2281533</v>
      </c>
      <c r="E13" s="292">
        <v>1536382</v>
      </c>
    </row>
    <row r="14" spans="2:9" s="185" customFormat="1" x14ac:dyDescent="0.25">
      <c r="B14" s="386" t="s">
        <v>659</v>
      </c>
      <c r="C14" s="194"/>
      <c r="D14" s="292">
        <v>874738</v>
      </c>
      <c r="E14" s="292">
        <v>1336966</v>
      </c>
    </row>
    <row r="15" spans="2:9" s="185" customFormat="1" x14ac:dyDescent="0.25">
      <c r="B15" s="386" t="s">
        <v>37</v>
      </c>
      <c r="C15" s="194"/>
      <c r="D15" s="292">
        <v>95009</v>
      </c>
      <c r="E15" s="292">
        <v>0</v>
      </c>
    </row>
    <row r="16" spans="2:9" s="185" customFormat="1" x14ac:dyDescent="0.25">
      <c r="B16" s="195" t="s">
        <v>660</v>
      </c>
      <c r="C16" s="194"/>
      <c r="D16" s="291">
        <f>D3-D7</f>
        <v>2188093</v>
      </c>
      <c r="E16" s="291">
        <f>E3-E7</f>
        <v>4488108</v>
      </c>
    </row>
    <row r="17" spans="2:6" s="185" customFormat="1" x14ac:dyDescent="0.25">
      <c r="B17" s="386" t="s">
        <v>634</v>
      </c>
      <c r="C17" s="194"/>
      <c r="D17" s="292">
        <v>0</v>
      </c>
      <c r="E17" s="292">
        <v>0</v>
      </c>
      <c r="F17" s="197"/>
    </row>
    <row r="18" spans="2:6" s="185" customFormat="1" x14ac:dyDescent="0.25">
      <c r="B18" s="184" t="s">
        <v>379</v>
      </c>
      <c r="C18" s="194" t="s">
        <v>476</v>
      </c>
      <c r="D18" s="421">
        <v>107739</v>
      </c>
      <c r="E18" s="421">
        <v>229327</v>
      </c>
    </row>
    <row r="19" spans="2:6" s="185" customFormat="1" x14ac:dyDescent="0.25">
      <c r="B19" s="184" t="s">
        <v>380</v>
      </c>
      <c r="C19" s="194" t="s">
        <v>476</v>
      </c>
      <c r="D19" s="421">
        <v>656469</v>
      </c>
      <c r="E19" s="421">
        <v>397657</v>
      </c>
    </row>
    <row r="20" spans="2:6" s="185" customFormat="1" x14ac:dyDescent="0.25">
      <c r="B20" s="390" t="s">
        <v>633</v>
      </c>
      <c r="C20" s="194"/>
      <c r="D20" s="421">
        <v>0</v>
      </c>
      <c r="E20" s="421">
        <v>0</v>
      </c>
      <c r="F20" s="197"/>
    </row>
    <row r="21" spans="2:6" s="185" customFormat="1" x14ac:dyDescent="0.25">
      <c r="B21" s="195" t="s">
        <v>381</v>
      </c>
      <c r="C21" s="194"/>
      <c r="D21" s="291">
        <f>D16-D17+D18-D19-D20</f>
        <v>1639363</v>
      </c>
      <c r="E21" s="291">
        <f>E16-E17+E18-E19-E20</f>
        <v>4319778</v>
      </c>
    </row>
    <row r="22" spans="2:6" s="185" customFormat="1" x14ac:dyDescent="0.25">
      <c r="B22" s="184" t="s">
        <v>352</v>
      </c>
      <c r="C22" s="194" t="s">
        <v>477</v>
      </c>
      <c r="D22" s="292">
        <v>52529</v>
      </c>
      <c r="E22" s="292">
        <v>82205</v>
      </c>
    </row>
    <row r="23" spans="2:6" s="185" customFormat="1" x14ac:dyDescent="0.25">
      <c r="B23" s="184" t="s">
        <v>576</v>
      </c>
      <c r="C23" s="194" t="s">
        <v>477</v>
      </c>
      <c r="D23" s="421">
        <v>212420</v>
      </c>
      <c r="E23" s="421">
        <v>204966</v>
      </c>
    </row>
    <row r="24" spans="2:6" s="185" customFormat="1" x14ac:dyDescent="0.2">
      <c r="B24" s="44" t="s">
        <v>453</v>
      </c>
      <c r="C24" s="194"/>
      <c r="D24" s="421">
        <v>0</v>
      </c>
      <c r="E24" s="421">
        <v>0</v>
      </c>
    </row>
    <row r="25" spans="2:6" s="185" customFormat="1" x14ac:dyDescent="0.25">
      <c r="B25" s="390" t="s">
        <v>671</v>
      </c>
      <c r="C25" s="194"/>
      <c r="D25" s="421">
        <v>0</v>
      </c>
      <c r="E25" s="421">
        <v>0</v>
      </c>
    </row>
    <row r="26" spans="2:6" s="185" customFormat="1" x14ac:dyDescent="0.25">
      <c r="B26" s="195" t="s">
        <v>495</v>
      </c>
      <c r="C26" s="194"/>
      <c r="D26" s="291">
        <f>D21+D22-D23-D24-D25</f>
        <v>1479472</v>
      </c>
      <c r="E26" s="291">
        <f>E21+E22-E23-E24-E25</f>
        <v>4197017</v>
      </c>
    </row>
    <row r="27" spans="2:6" s="185" customFormat="1" x14ac:dyDescent="0.25">
      <c r="B27" s="184" t="s">
        <v>496</v>
      </c>
      <c r="C27" s="194" t="s">
        <v>478</v>
      </c>
      <c r="D27" s="292">
        <v>962476</v>
      </c>
      <c r="E27" s="292">
        <v>1365367</v>
      </c>
    </row>
    <row r="28" spans="2:6" s="185" customFormat="1" x14ac:dyDescent="0.25">
      <c r="B28" s="390" t="s">
        <v>668</v>
      </c>
      <c r="C28" s="194"/>
      <c r="D28" s="292">
        <v>0</v>
      </c>
      <c r="E28" s="292">
        <v>0</v>
      </c>
    </row>
    <row r="29" spans="2:6" s="185" customFormat="1" x14ac:dyDescent="0.25">
      <c r="B29" s="195" t="s">
        <v>382</v>
      </c>
      <c r="C29" s="194" t="s">
        <v>479</v>
      </c>
      <c r="D29" s="291">
        <f>D26-D27</f>
        <v>516996</v>
      </c>
      <c r="E29" s="291">
        <f>E26-E27</f>
        <v>2831650</v>
      </c>
    </row>
    <row r="30" spans="2:6" s="185" customFormat="1" x14ac:dyDescent="0.25">
      <c r="B30" s="196" t="s">
        <v>383</v>
      </c>
      <c r="C30" s="194" t="s">
        <v>479</v>
      </c>
      <c r="D30" s="421">
        <v>0</v>
      </c>
      <c r="E30" s="421">
        <v>0</v>
      </c>
    </row>
    <row r="31" spans="2:6" s="185" customFormat="1" x14ac:dyDescent="0.25">
      <c r="B31" s="195" t="s">
        <v>221</v>
      </c>
      <c r="C31" s="194" t="s">
        <v>479</v>
      </c>
      <c r="D31" s="291">
        <f>D29+D30</f>
        <v>516996</v>
      </c>
      <c r="E31" s="291">
        <f>E29+E30</f>
        <v>2831650</v>
      </c>
    </row>
    <row r="32" spans="2:6" s="185" customFormat="1" x14ac:dyDescent="0.25">
      <c r="B32" s="195"/>
      <c r="C32" s="194"/>
      <c r="D32" s="291"/>
      <c r="E32" s="291"/>
    </row>
    <row r="33" spans="2:5" s="197" customFormat="1" x14ac:dyDescent="0.2">
      <c r="B33" s="48" t="s">
        <v>584</v>
      </c>
      <c r="C33" s="194"/>
      <c r="D33" s="292">
        <v>80205</v>
      </c>
      <c r="E33" s="292">
        <v>411959</v>
      </c>
    </row>
    <row r="34" spans="2:5" s="185" customFormat="1" x14ac:dyDescent="0.25">
      <c r="B34" s="186" t="s">
        <v>139</v>
      </c>
      <c r="C34" s="194"/>
      <c r="D34" s="287">
        <f>D31-D33</f>
        <v>436791</v>
      </c>
      <c r="E34" s="287">
        <f>E31-E33</f>
        <v>2419691</v>
      </c>
    </row>
    <row r="35" spans="2:5" s="185" customFormat="1" x14ac:dyDescent="0.25">
      <c r="B35" s="186"/>
      <c r="C35" s="194"/>
      <c r="D35" s="287"/>
      <c r="E35" s="287"/>
    </row>
    <row r="36" spans="2:5" s="185" customFormat="1" x14ac:dyDescent="0.25">
      <c r="B36" s="187" t="s">
        <v>115</v>
      </c>
      <c r="C36" s="194"/>
      <c r="D36" s="287"/>
      <c r="E36" s="287"/>
    </row>
    <row r="37" spans="2:5" s="185" customFormat="1" x14ac:dyDescent="0.2">
      <c r="B37" s="86" t="s">
        <v>140</v>
      </c>
      <c r="C37" s="194"/>
      <c r="D37" s="446">
        <f>D31/2291551</f>
        <v>0.22560964167936912</v>
      </c>
      <c r="E37" s="446">
        <f>E31/2291551</f>
        <v>1.235691459627126</v>
      </c>
    </row>
    <row r="38" spans="2:5" s="185" customFormat="1" x14ac:dyDescent="0.2">
      <c r="B38" s="86" t="s">
        <v>141</v>
      </c>
      <c r="C38" s="194"/>
      <c r="D38" s="446">
        <f>D31/2291551</f>
        <v>0.22560964167936912</v>
      </c>
      <c r="E38" s="446">
        <f>E31/2291551</f>
        <v>1.235691459627126</v>
      </c>
    </row>
    <row r="39" spans="2:5" s="185" customFormat="1" x14ac:dyDescent="0.25">
      <c r="B39" s="186" t="s">
        <v>138</v>
      </c>
      <c r="C39" s="194"/>
      <c r="D39" s="289"/>
      <c r="E39" s="289"/>
    </row>
    <row r="40" spans="2:5" s="185" customFormat="1" x14ac:dyDescent="0.2">
      <c r="B40" s="86" t="s">
        <v>140</v>
      </c>
      <c r="C40" s="194"/>
      <c r="D40" s="446">
        <f>D31/2291551</f>
        <v>0.22560964167936912</v>
      </c>
      <c r="E40" s="446">
        <f>E31/2291551</f>
        <v>1.235691459627126</v>
      </c>
    </row>
    <row r="41" spans="2:5" s="185" customFormat="1" x14ac:dyDescent="0.2">
      <c r="B41" s="86" t="s">
        <v>141</v>
      </c>
      <c r="C41" s="386"/>
      <c r="D41" s="446">
        <f>D31/2291551</f>
        <v>0.22560964167936912</v>
      </c>
      <c r="E41" s="446">
        <f>E31/2291551</f>
        <v>1.235691459627126</v>
      </c>
    </row>
    <row r="42" spans="2:5" s="185" customFormat="1" x14ac:dyDescent="0.25">
      <c r="B42" s="186" t="s">
        <v>312</v>
      </c>
      <c r="C42" s="386"/>
      <c r="D42" s="289">
        <v>0</v>
      </c>
      <c r="E42" s="289">
        <v>0</v>
      </c>
    </row>
    <row r="43" spans="2:5" x14ac:dyDescent="0.2">
      <c r="B43" s="189"/>
      <c r="C43" s="189"/>
      <c r="D43" s="190"/>
      <c r="E43" s="190"/>
    </row>
    <row r="44" spans="2:5" x14ac:dyDescent="0.2">
      <c r="B44" s="191"/>
      <c r="C44" s="191"/>
      <c r="D44" s="190"/>
      <c r="E44" s="190"/>
    </row>
    <row r="45" spans="2:5" x14ac:dyDescent="0.2">
      <c r="B45" s="189"/>
      <c r="C45" s="189"/>
      <c r="D45" s="190"/>
      <c r="E45" s="190"/>
    </row>
    <row r="46" spans="2:5" x14ac:dyDescent="0.2">
      <c r="B46" s="189"/>
      <c r="C46" s="189"/>
      <c r="D46" s="190"/>
      <c r="E46" s="190"/>
    </row>
  </sheetData>
  <phoneticPr fontId="28" type="noConversion"/>
  <pageMargins left="0.7" right="0.7" top="0.75" bottom="0.75" header="0.3" footer="0.3"/>
  <pageSetup paperSize="9" scale="89" orientation="landscape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/>
  <dimension ref="A1:C16"/>
  <sheetViews>
    <sheetView showGridLines="0" view="pageBreakPreview" zoomScaleNormal="100" zoomScaleSheetLayoutView="100" workbookViewId="0">
      <selection activeCell="D7" sqref="D7"/>
    </sheetView>
  </sheetViews>
  <sheetFormatPr defaultColWidth="9.21875" defaultRowHeight="10.199999999999999" x14ac:dyDescent="0.2"/>
  <cols>
    <col min="1" max="1" width="42.77734375" style="204" customWidth="1"/>
    <col min="2" max="3" width="15.44140625" style="204" customWidth="1"/>
    <col min="4" max="4" width="15.77734375" style="204" customWidth="1"/>
    <col min="5" max="16384" width="9.21875" style="204"/>
  </cols>
  <sheetData>
    <row r="1" spans="1:3" s="44" customFormat="1" x14ac:dyDescent="0.2">
      <c r="A1" s="180"/>
    </row>
    <row r="2" spans="1:3" s="41" customFormat="1" ht="13.2" x14ac:dyDescent="0.25">
      <c r="A2" s="412" t="s">
        <v>985</v>
      </c>
    </row>
    <row r="3" spans="1:3" s="41" customFormat="1" x14ac:dyDescent="0.2"/>
    <row r="4" spans="1:3" s="1" customFormat="1" x14ac:dyDescent="0.2">
      <c r="A4" s="41"/>
      <c r="B4" s="662"/>
      <c r="C4" s="662"/>
    </row>
    <row r="5" spans="1:3" s="41" customFormat="1" x14ac:dyDescent="0.2">
      <c r="A5" s="103" t="s">
        <v>353</v>
      </c>
      <c r="B5" s="461">
        <f>'Dane podstawowe'!$B$9</f>
        <v>43465</v>
      </c>
      <c r="C5" s="461">
        <f>'Dane podstawowe'!$B$14</f>
        <v>43100</v>
      </c>
    </row>
    <row r="6" spans="1:3" x14ac:dyDescent="0.2">
      <c r="A6" s="43" t="s">
        <v>346</v>
      </c>
      <c r="B6" s="206">
        <f>(Pasywa!D14+Pasywa!D22)</f>
        <v>1393800</v>
      </c>
      <c r="C6" s="206">
        <f>(Pasywa!E14+Pasywa!E22)</f>
        <v>2928</v>
      </c>
    </row>
    <row r="7" spans="1:3" s="1" customFormat="1" ht="20.399999999999999" x14ac:dyDescent="0.2">
      <c r="A7" s="2" t="s">
        <v>348</v>
      </c>
      <c r="B7" s="82">
        <f>(Pasywa!D24+Pasywa!D26)</f>
        <v>10599653</v>
      </c>
      <c r="C7" s="82">
        <f>(Pasywa!E24+Pasywa!E26)</f>
        <v>8002916</v>
      </c>
    </row>
    <row r="8" spans="1:3" x14ac:dyDescent="0.2">
      <c r="A8" s="43" t="s">
        <v>64</v>
      </c>
      <c r="B8" s="206">
        <f>Aktywa!D25</f>
        <v>2267111</v>
      </c>
      <c r="C8" s="206">
        <f>Aktywa!E25</f>
        <v>4803839</v>
      </c>
    </row>
    <row r="9" spans="1:3" s="41" customFormat="1" x14ac:dyDescent="0.2">
      <c r="A9" s="35" t="s">
        <v>65</v>
      </c>
      <c r="B9" s="92">
        <f>B6+B7-B8</f>
        <v>9726342</v>
      </c>
      <c r="C9" s="92">
        <f>C6+C7-C8</f>
        <v>3202005</v>
      </c>
    </row>
    <row r="10" spans="1:3" x14ac:dyDescent="0.2">
      <c r="A10" s="679"/>
      <c r="B10" s="680"/>
      <c r="C10" s="680"/>
    </row>
    <row r="11" spans="1:3" s="1" customFormat="1" x14ac:dyDescent="0.2">
      <c r="A11" s="2" t="s">
        <v>347</v>
      </c>
      <c r="B11" s="82"/>
      <c r="C11" s="82"/>
    </row>
    <row r="12" spans="1:3" x14ac:dyDescent="0.2">
      <c r="A12" s="43" t="s">
        <v>66</v>
      </c>
      <c r="B12" s="206">
        <f>Pasywa!D3</f>
        <v>25821513</v>
      </c>
      <c r="C12" s="206">
        <f>Pasywa!E3</f>
        <v>25146742</v>
      </c>
    </row>
    <row r="13" spans="1:3" s="1" customFormat="1" x14ac:dyDescent="0.2">
      <c r="A13" s="2" t="s">
        <v>67</v>
      </c>
      <c r="B13" s="82"/>
      <c r="C13" s="82"/>
    </row>
    <row r="14" spans="1:3" s="41" customFormat="1" x14ac:dyDescent="0.2">
      <c r="A14" s="35" t="s">
        <v>68</v>
      </c>
      <c r="B14" s="92">
        <f>B13+B12+B11</f>
        <v>25821513</v>
      </c>
      <c r="C14" s="92">
        <f>C13+C12+C11</f>
        <v>25146742</v>
      </c>
    </row>
    <row r="15" spans="1:3" s="41" customFormat="1" x14ac:dyDescent="0.2">
      <c r="A15" s="57" t="s">
        <v>69</v>
      </c>
      <c r="B15" s="92">
        <f>B14+B9</f>
        <v>35547855</v>
      </c>
      <c r="C15" s="92">
        <f>C14+C9</f>
        <v>28348747</v>
      </c>
    </row>
    <row r="16" spans="1:3" x14ac:dyDescent="0.2">
      <c r="A16" s="43" t="s">
        <v>70</v>
      </c>
      <c r="B16" s="454">
        <f>B9/B15</f>
        <v>0.27361262725978824</v>
      </c>
      <c r="C16" s="454">
        <f>C9/C15</f>
        <v>0.11295049477848175</v>
      </c>
    </row>
  </sheetData>
  <mergeCells count="2">
    <mergeCell ref="B4:C4"/>
    <mergeCell ref="A10:C10"/>
  </mergeCells>
  <phoneticPr fontId="28" type="noConversion"/>
  <pageMargins left="0.75" right="0.75" top="1" bottom="1" header="0.5" footer="0.5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showGridLines="0" topLeftCell="A13" zoomScaleNormal="100" zoomScaleSheetLayoutView="90" workbookViewId="0">
      <selection activeCell="G46" sqref="G46"/>
    </sheetView>
  </sheetViews>
  <sheetFormatPr defaultRowHeight="13.2" x14ac:dyDescent="0.25"/>
  <cols>
    <col min="1" max="1" width="64" style="443" customWidth="1"/>
    <col min="2" max="13" width="15.44140625" style="445" customWidth="1"/>
    <col min="14" max="250" width="9.21875" style="443"/>
    <col min="251" max="251" width="64" style="443" customWidth="1"/>
    <col min="252" max="267" width="15.44140625" style="443" customWidth="1"/>
    <col min="268" max="268" width="14.21875" style="443" customWidth="1"/>
    <col min="269" max="269" width="18.21875" style="443" customWidth="1"/>
    <col min="270" max="506" width="9.21875" style="443"/>
    <col min="507" max="507" width="64" style="443" customWidth="1"/>
    <col min="508" max="523" width="15.44140625" style="443" customWidth="1"/>
    <col min="524" max="524" width="14.21875" style="443" customWidth="1"/>
    <col min="525" max="525" width="18.21875" style="443" customWidth="1"/>
    <col min="526" max="762" width="9.21875" style="443"/>
    <col min="763" max="763" width="64" style="443" customWidth="1"/>
    <col min="764" max="779" width="15.44140625" style="443" customWidth="1"/>
    <col min="780" max="780" width="14.21875" style="443" customWidth="1"/>
    <col min="781" max="781" width="18.21875" style="443" customWidth="1"/>
    <col min="782" max="1018" width="9.21875" style="443"/>
    <col min="1019" max="1019" width="64" style="443" customWidth="1"/>
    <col min="1020" max="1035" width="15.44140625" style="443" customWidth="1"/>
    <col min="1036" max="1036" width="14.21875" style="443" customWidth="1"/>
    <col min="1037" max="1037" width="18.21875" style="443" customWidth="1"/>
    <col min="1038" max="1274" width="9.21875" style="443"/>
    <col min="1275" max="1275" width="64" style="443" customWidth="1"/>
    <col min="1276" max="1291" width="15.44140625" style="443" customWidth="1"/>
    <col min="1292" max="1292" width="14.21875" style="443" customWidth="1"/>
    <col min="1293" max="1293" width="18.21875" style="443" customWidth="1"/>
    <col min="1294" max="1530" width="9.21875" style="443"/>
    <col min="1531" max="1531" width="64" style="443" customWidth="1"/>
    <col min="1532" max="1547" width="15.44140625" style="443" customWidth="1"/>
    <col min="1548" max="1548" width="14.21875" style="443" customWidth="1"/>
    <col min="1549" max="1549" width="18.21875" style="443" customWidth="1"/>
    <col min="1550" max="1786" width="9.21875" style="443"/>
    <col min="1787" max="1787" width="64" style="443" customWidth="1"/>
    <col min="1788" max="1803" width="15.44140625" style="443" customWidth="1"/>
    <col min="1804" max="1804" width="14.21875" style="443" customWidth="1"/>
    <col min="1805" max="1805" width="18.21875" style="443" customWidth="1"/>
    <col min="1806" max="2042" width="9.21875" style="443"/>
    <col min="2043" max="2043" width="64" style="443" customWidth="1"/>
    <col min="2044" max="2059" width="15.44140625" style="443" customWidth="1"/>
    <col min="2060" max="2060" width="14.21875" style="443" customWidth="1"/>
    <col min="2061" max="2061" width="18.21875" style="443" customWidth="1"/>
    <col min="2062" max="2298" width="9.21875" style="443"/>
    <col min="2299" max="2299" width="64" style="443" customWidth="1"/>
    <col min="2300" max="2315" width="15.44140625" style="443" customWidth="1"/>
    <col min="2316" max="2316" width="14.21875" style="443" customWidth="1"/>
    <col min="2317" max="2317" width="18.21875" style="443" customWidth="1"/>
    <col min="2318" max="2554" width="9.21875" style="443"/>
    <col min="2555" max="2555" width="64" style="443" customWidth="1"/>
    <col min="2556" max="2571" width="15.44140625" style="443" customWidth="1"/>
    <col min="2572" max="2572" width="14.21875" style="443" customWidth="1"/>
    <col min="2573" max="2573" width="18.21875" style="443" customWidth="1"/>
    <col min="2574" max="2810" width="9.21875" style="443"/>
    <col min="2811" max="2811" width="64" style="443" customWidth="1"/>
    <col min="2812" max="2827" width="15.44140625" style="443" customWidth="1"/>
    <col min="2828" max="2828" width="14.21875" style="443" customWidth="1"/>
    <col min="2829" max="2829" width="18.21875" style="443" customWidth="1"/>
    <col min="2830" max="3066" width="9.21875" style="443"/>
    <col min="3067" max="3067" width="64" style="443" customWidth="1"/>
    <col min="3068" max="3083" width="15.44140625" style="443" customWidth="1"/>
    <col min="3084" max="3084" width="14.21875" style="443" customWidth="1"/>
    <col min="3085" max="3085" width="18.21875" style="443" customWidth="1"/>
    <col min="3086" max="3322" width="9.21875" style="443"/>
    <col min="3323" max="3323" width="64" style="443" customWidth="1"/>
    <col min="3324" max="3339" width="15.44140625" style="443" customWidth="1"/>
    <col min="3340" max="3340" width="14.21875" style="443" customWidth="1"/>
    <col min="3341" max="3341" width="18.21875" style="443" customWidth="1"/>
    <col min="3342" max="3578" width="9.21875" style="443"/>
    <col min="3579" max="3579" width="64" style="443" customWidth="1"/>
    <col min="3580" max="3595" width="15.44140625" style="443" customWidth="1"/>
    <col min="3596" max="3596" width="14.21875" style="443" customWidth="1"/>
    <col min="3597" max="3597" width="18.21875" style="443" customWidth="1"/>
    <col min="3598" max="3834" width="9.21875" style="443"/>
    <col min="3835" max="3835" width="64" style="443" customWidth="1"/>
    <col min="3836" max="3851" width="15.44140625" style="443" customWidth="1"/>
    <col min="3852" max="3852" width="14.21875" style="443" customWidth="1"/>
    <col min="3853" max="3853" width="18.21875" style="443" customWidth="1"/>
    <col min="3854" max="4090" width="9.21875" style="443"/>
    <col min="4091" max="4091" width="64" style="443" customWidth="1"/>
    <col min="4092" max="4107" width="15.44140625" style="443" customWidth="1"/>
    <col min="4108" max="4108" width="14.21875" style="443" customWidth="1"/>
    <col min="4109" max="4109" width="18.21875" style="443" customWidth="1"/>
    <col min="4110" max="4346" width="9.21875" style="443"/>
    <col min="4347" max="4347" width="64" style="443" customWidth="1"/>
    <col min="4348" max="4363" width="15.44140625" style="443" customWidth="1"/>
    <col min="4364" max="4364" width="14.21875" style="443" customWidth="1"/>
    <col min="4365" max="4365" width="18.21875" style="443" customWidth="1"/>
    <col min="4366" max="4602" width="9.21875" style="443"/>
    <col min="4603" max="4603" width="64" style="443" customWidth="1"/>
    <col min="4604" max="4619" width="15.44140625" style="443" customWidth="1"/>
    <col min="4620" max="4620" width="14.21875" style="443" customWidth="1"/>
    <col min="4621" max="4621" width="18.21875" style="443" customWidth="1"/>
    <col min="4622" max="4858" width="9.21875" style="443"/>
    <col min="4859" max="4859" width="64" style="443" customWidth="1"/>
    <col min="4860" max="4875" width="15.44140625" style="443" customWidth="1"/>
    <col min="4876" max="4876" width="14.21875" style="443" customWidth="1"/>
    <col min="4877" max="4877" width="18.21875" style="443" customWidth="1"/>
    <col min="4878" max="5114" width="9.21875" style="443"/>
    <col min="5115" max="5115" width="64" style="443" customWidth="1"/>
    <col min="5116" max="5131" width="15.44140625" style="443" customWidth="1"/>
    <col min="5132" max="5132" width="14.21875" style="443" customWidth="1"/>
    <col min="5133" max="5133" width="18.21875" style="443" customWidth="1"/>
    <col min="5134" max="5370" width="9.21875" style="443"/>
    <col min="5371" max="5371" width="64" style="443" customWidth="1"/>
    <col min="5372" max="5387" width="15.44140625" style="443" customWidth="1"/>
    <col min="5388" max="5388" width="14.21875" style="443" customWidth="1"/>
    <col min="5389" max="5389" width="18.21875" style="443" customWidth="1"/>
    <col min="5390" max="5626" width="9.21875" style="443"/>
    <col min="5627" max="5627" width="64" style="443" customWidth="1"/>
    <col min="5628" max="5643" width="15.44140625" style="443" customWidth="1"/>
    <col min="5644" max="5644" width="14.21875" style="443" customWidth="1"/>
    <col min="5645" max="5645" width="18.21875" style="443" customWidth="1"/>
    <col min="5646" max="5882" width="9.21875" style="443"/>
    <col min="5883" max="5883" width="64" style="443" customWidth="1"/>
    <col min="5884" max="5899" width="15.44140625" style="443" customWidth="1"/>
    <col min="5900" max="5900" width="14.21875" style="443" customWidth="1"/>
    <col min="5901" max="5901" width="18.21875" style="443" customWidth="1"/>
    <col min="5902" max="6138" width="9.21875" style="443"/>
    <col min="6139" max="6139" width="64" style="443" customWidth="1"/>
    <col min="6140" max="6155" width="15.44140625" style="443" customWidth="1"/>
    <col min="6156" max="6156" width="14.21875" style="443" customWidth="1"/>
    <col min="6157" max="6157" width="18.21875" style="443" customWidth="1"/>
    <col min="6158" max="6394" width="9.21875" style="443"/>
    <col min="6395" max="6395" width="64" style="443" customWidth="1"/>
    <col min="6396" max="6411" width="15.44140625" style="443" customWidth="1"/>
    <col min="6412" max="6412" width="14.21875" style="443" customWidth="1"/>
    <col min="6413" max="6413" width="18.21875" style="443" customWidth="1"/>
    <col min="6414" max="6650" width="9.21875" style="443"/>
    <col min="6651" max="6651" width="64" style="443" customWidth="1"/>
    <col min="6652" max="6667" width="15.44140625" style="443" customWidth="1"/>
    <col min="6668" max="6668" width="14.21875" style="443" customWidth="1"/>
    <col min="6669" max="6669" width="18.21875" style="443" customWidth="1"/>
    <col min="6670" max="6906" width="9.21875" style="443"/>
    <col min="6907" max="6907" width="64" style="443" customWidth="1"/>
    <col min="6908" max="6923" width="15.44140625" style="443" customWidth="1"/>
    <col min="6924" max="6924" width="14.21875" style="443" customWidth="1"/>
    <col min="6925" max="6925" width="18.21875" style="443" customWidth="1"/>
    <col min="6926" max="7162" width="9.21875" style="443"/>
    <col min="7163" max="7163" width="64" style="443" customWidth="1"/>
    <col min="7164" max="7179" width="15.44140625" style="443" customWidth="1"/>
    <col min="7180" max="7180" width="14.21875" style="443" customWidth="1"/>
    <col min="7181" max="7181" width="18.21875" style="443" customWidth="1"/>
    <col min="7182" max="7418" width="9.21875" style="443"/>
    <col min="7419" max="7419" width="64" style="443" customWidth="1"/>
    <col min="7420" max="7435" width="15.44140625" style="443" customWidth="1"/>
    <col min="7436" max="7436" width="14.21875" style="443" customWidth="1"/>
    <col min="7437" max="7437" width="18.21875" style="443" customWidth="1"/>
    <col min="7438" max="7674" width="9.21875" style="443"/>
    <col min="7675" max="7675" width="64" style="443" customWidth="1"/>
    <col min="7676" max="7691" width="15.44140625" style="443" customWidth="1"/>
    <col min="7692" max="7692" width="14.21875" style="443" customWidth="1"/>
    <col min="7693" max="7693" width="18.21875" style="443" customWidth="1"/>
    <col min="7694" max="7930" width="9.21875" style="443"/>
    <col min="7931" max="7931" width="64" style="443" customWidth="1"/>
    <col min="7932" max="7947" width="15.44140625" style="443" customWidth="1"/>
    <col min="7948" max="7948" width="14.21875" style="443" customWidth="1"/>
    <col min="7949" max="7949" width="18.21875" style="443" customWidth="1"/>
    <col min="7950" max="8186" width="9.21875" style="443"/>
    <col min="8187" max="8187" width="64" style="443" customWidth="1"/>
    <col min="8188" max="8203" width="15.44140625" style="443" customWidth="1"/>
    <col min="8204" max="8204" width="14.21875" style="443" customWidth="1"/>
    <col min="8205" max="8205" width="18.21875" style="443" customWidth="1"/>
    <col min="8206" max="8442" width="9.21875" style="443"/>
    <col min="8443" max="8443" width="64" style="443" customWidth="1"/>
    <col min="8444" max="8459" width="15.44140625" style="443" customWidth="1"/>
    <col min="8460" max="8460" width="14.21875" style="443" customWidth="1"/>
    <col min="8461" max="8461" width="18.21875" style="443" customWidth="1"/>
    <col min="8462" max="8698" width="9.21875" style="443"/>
    <col min="8699" max="8699" width="64" style="443" customWidth="1"/>
    <col min="8700" max="8715" width="15.44140625" style="443" customWidth="1"/>
    <col min="8716" max="8716" width="14.21875" style="443" customWidth="1"/>
    <col min="8717" max="8717" width="18.21875" style="443" customWidth="1"/>
    <col min="8718" max="8954" width="9.21875" style="443"/>
    <col min="8955" max="8955" width="64" style="443" customWidth="1"/>
    <col min="8956" max="8971" width="15.44140625" style="443" customWidth="1"/>
    <col min="8972" max="8972" width="14.21875" style="443" customWidth="1"/>
    <col min="8973" max="8973" width="18.21875" style="443" customWidth="1"/>
    <col min="8974" max="9210" width="9.21875" style="443"/>
    <col min="9211" max="9211" width="64" style="443" customWidth="1"/>
    <col min="9212" max="9227" width="15.44140625" style="443" customWidth="1"/>
    <col min="9228" max="9228" width="14.21875" style="443" customWidth="1"/>
    <col min="9229" max="9229" width="18.21875" style="443" customWidth="1"/>
    <col min="9230" max="9466" width="9.21875" style="443"/>
    <col min="9467" max="9467" width="64" style="443" customWidth="1"/>
    <col min="9468" max="9483" width="15.44140625" style="443" customWidth="1"/>
    <col min="9484" max="9484" width="14.21875" style="443" customWidth="1"/>
    <col min="9485" max="9485" width="18.21875" style="443" customWidth="1"/>
    <col min="9486" max="9722" width="9.21875" style="443"/>
    <col min="9723" max="9723" width="64" style="443" customWidth="1"/>
    <col min="9724" max="9739" width="15.44140625" style="443" customWidth="1"/>
    <col min="9740" max="9740" width="14.21875" style="443" customWidth="1"/>
    <col min="9741" max="9741" width="18.21875" style="443" customWidth="1"/>
    <col min="9742" max="9978" width="9.21875" style="443"/>
    <col min="9979" max="9979" width="64" style="443" customWidth="1"/>
    <col min="9980" max="9995" width="15.44140625" style="443" customWidth="1"/>
    <col min="9996" max="9996" width="14.21875" style="443" customWidth="1"/>
    <col min="9997" max="9997" width="18.21875" style="443" customWidth="1"/>
    <col min="9998" max="10234" width="9.21875" style="443"/>
    <col min="10235" max="10235" width="64" style="443" customWidth="1"/>
    <col min="10236" max="10251" width="15.44140625" style="443" customWidth="1"/>
    <col min="10252" max="10252" width="14.21875" style="443" customWidth="1"/>
    <col min="10253" max="10253" width="18.21875" style="443" customWidth="1"/>
    <col min="10254" max="10490" width="9.21875" style="443"/>
    <col min="10491" max="10491" width="64" style="443" customWidth="1"/>
    <col min="10492" max="10507" width="15.44140625" style="443" customWidth="1"/>
    <col min="10508" max="10508" width="14.21875" style="443" customWidth="1"/>
    <col min="10509" max="10509" width="18.21875" style="443" customWidth="1"/>
    <col min="10510" max="10746" width="9.21875" style="443"/>
    <col min="10747" max="10747" width="64" style="443" customWidth="1"/>
    <col min="10748" max="10763" width="15.44140625" style="443" customWidth="1"/>
    <col min="10764" max="10764" width="14.21875" style="443" customWidth="1"/>
    <col min="10765" max="10765" width="18.21875" style="443" customWidth="1"/>
    <col min="10766" max="11002" width="9.21875" style="443"/>
    <col min="11003" max="11003" width="64" style="443" customWidth="1"/>
    <col min="11004" max="11019" width="15.44140625" style="443" customWidth="1"/>
    <col min="11020" max="11020" width="14.21875" style="443" customWidth="1"/>
    <col min="11021" max="11021" width="18.21875" style="443" customWidth="1"/>
    <col min="11022" max="11258" width="9.21875" style="443"/>
    <col min="11259" max="11259" width="64" style="443" customWidth="1"/>
    <col min="11260" max="11275" width="15.44140625" style="443" customWidth="1"/>
    <col min="11276" max="11276" width="14.21875" style="443" customWidth="1"/>
    <col min="11277" max="11277" width="18.21875" style="443" customWidth="1"/>
    <col min="11278" max="11514" width="9.21875" style="443"/>
    <col min="11515" max="11515" width="64" style="443" customWidth="1"/>
    <col min="11516" max="11531" width="15.44140625" style="443" customWidth="1"/>
    <col min="11532" max="11532" width="14.21875" style="443" customWidth="1"/>
    <col min="11533" max="11533" width="18.21875" style="443" customWidth="1"/>
    <col min="11534" max="11770" width="9.21875" style="443"/>
    <col min="11771" max="11771" width="64" style="443" customWidth="1"/>
    <col min="11772" max="11787" width="15.44140625" style="443" customWidth="1"/>
    <col min="11788" max="11788" width="14.21875" style="443" customWidth="1"/>
    <col min="11789" max="11789" width="18.21875" style="443" customWidth="1"/>
    <col min="11790" max="12026" width="9.21875" style="443"/>
    <col min="12027" max="12027" width="64" style="443" customWidth="1"/>
    <col min="12028" max="12043" width="15.44140625" style="443" customWidth="1"/>
    <col min="12044" max="12044" width="14.21875" style="443" customWidth="1"/>
    <col min="12045" max="12045" width="18.21875" style="443" customWidth="1"/>
    <col min="12046" max="12282" width="9.21875" style="443"/>
    <col min="12283" max="12283" width="64" style="443" customWidth="1"/>
    <col min="12284" max="12299" width="15.44140625" style="443" customWidth="1"/>
    <col min="12300" max="12300" width="14.21875" style="443" customWidth="1"/>
    <col min="12301" max="12301" width="18.21875" style="443" customWidth="1"/>
    <col min="12302" max="12538" width="9.21875" style="443"/>
    <col min="12539" max="12539" width="64" style="443" customWidth="1"/>
    <col min="12540" max="12555" width="15.44140625" style="443" customWidth="1"/>
    <col min="12556" max="12556" width="14.21875" style="443" customWidth="1"/>
    <col min="12557" max="12557" width="18.21875" style="443" customWidth="1"/>
    <col min="12558" max="12794" width="9.21875" style="443"/>
    <col min="12795" max="12795" width="64" style="443" customWidth="1"/>
    <col min="12796" max="12811" width="15.44140625" style="443" customWidth="1"/>
    <col min="12812" max="12812" width="14.21875" style="443" customWidth="1"/>
    <col min="12813" max="12813" width="18.21875" style="443" customWidth="1"/>
    <col min="12814" max="13050" width="9.21875" style="443"/>
    <col min="13051" max="13051" width="64" style="443" customWidth="1"/>
    <col min="13052" max="13067" width="15.44140625" style="443" customWidth="1"/>
    <col min="13068" max="13068" width="14.21875" style="443" customWidth="1"/>
    <col min="13069" max="13069" width="18.21875" style="443" customWidth="1"/>
    <col min="13070" max="13306" width="9.21875" style="443"/>
    <col min="13307" max="13307" width="64" style="443" customWidth="1"/>
    <col min="13308" max="13323" width="15.44140625" style="443" customWidth="1"/>
    <col min="13324" max="13324" width="14.21875" style="443" customWidth="1"/>
    <col min="13325" max="13325" width="18.21875" style="443" customWidth="1"/>
    <col min="13326" max="13562" width="9.21875" style="443"/>
    <col min="13563" max="13563" width="64" style="443" customWidth="1"/>
    <col min="13564" max="13579" width="15.44140625" style="443" customWidth="1"/>
    <col min="13580" max="13580" width="14.21875" style="443" customWidth="1"/>
    <col min="13581" max="13581" width="18.21875" style="443" customWidth="1"/>
    <col min="13582" max="13818" width="9.21875" style="443"/>
    <col min="13819" max="13819" width="64" style="443" customWidth="1"/>
    <col min="13820" max="13835" width="15.44140625" style="443" customWidth="1"/>
    <col min="13836" max="13836" width="14.21875" style="443" customWidth="1"/>
    <col min="13837" max="13837" width="18.21875" style="443" customWidth="1"/>
    <col min="13838" max="14074" width="9.21875" style="443"/>
    <col min="14075" max="14075" width="64" style="443" customWidth="1"/>
    <col min="14076" max="14091" width="15.44140625" style="443" customWidth="1"/>
    <col min="14092" max="14092" width="14.21875" style="443" customWidth="1"/>
    <col min="14093" max="14093" width="18.21875" style="443" customWidth="1"/>
    <col min="14094" max="14330" width="9.21875" style="443"/>
    <col min="14331" max="14331" width="64" style="443" customWidth="1"/>
    <col min="14332" max="14347" width="15.44140625" style="443" customWidth="1"/>
    <col min="14348" max="14348" width="14.21875" style="443" customWidth="1"/>
    <col min="14349" max="14349" width="18.21875" style="443" customWidth="1"/>
    <col min="14350" max="14586" width="9.21875" style="443"/>
    <col min="14587" max="14587" width="64" style="443" customWidth="1"/>
    <col min="14588" max="14603" width="15.44140625" style="443" customWidth="1"/>
    <col min="14604" max="14604" width="14.21875" style="443" customWidth="1"/>
    <col min="14605" max="14605" width="18.21875" style="443" customWidth="1"/>
    <col min="14606" max="14842" width="9.21875" style="443"/>
    <col min="14843" max="14843" width="64" style="443" customWidth="1"/>
    <col min="14844" max="14859" width="15.44140625" style="443" customWidth="1"/>
    <col min="14860" max="14860" width="14.21875" style="443" customWidth="1"/>
    <col min="14861" max="14861" width="18.21875" style="443" customWidth="1"/>
    <col min="14862" max="15098" width="9.21875" style="443"/>
    <col min="15099" max="15099" width="64" style="443" customWidth="1"/>
    <col min="15100" max="15115" width="15.44140625" style="443" customWidth="1"/>
    <col min="15116" max="15116" width="14.21875" style="443" customWidth="1"/>
    <col min="15117" max="15117" width="18.21875" style="443" customWidth="1"/>
    <col min="15118" max="15354" width="9.21875" style="443"/>
    <col min="15355" max="15355" width="64" style="443" customWidth="1"/>
    <col min="15356" max="15371" width="15.44140625" style="443" customWidth="1"/>
    <col min="15372" max="15372" width="14.21875" style="443" customWidth="1"/>
    <col min="15373" max="15373" width="18.21875" style="443" customWidth="1"/>
    <col min="15374" max="15610" width="9.21875" style="443"/>
    <col min="15611" max="15611" width="64" style="443" customWidth="1"/>
    <col min="15612" max="15627" width="15.44140625" style="443" customWidth="1"/>
    <col min="15628" max="15628" width="14.21875" style="443" customWidth="1"/>
    <col min="15629" max="15629" width="18.21875" style="443" customWidth="1"/>
    <col min="15630" max="15866" width="9.21875" style="443"/>
    <col min="15867" max="15867" width="64" style="443" customWidth="1"/>
    <col min="15868" max="15883" width="15.44140625" style="443" customWidth="1"/>
    <col min="15884" max="15884" width="14.21875" style="443" customWidth="1"/>
    <col min="15885" max="15885" width="18.21875" style="443" customWidth="1"/>
    <col min="15886" max="16122" width="9.21875" style="443"/>
    <col min="16123" max="16123" width="64" style="443" customWidth="1"/>
    <col min="16124" max="16139" width="15.44140625" style="443" customWidth="1"/>
    <col min="16140" max="16140" width="14.21875" style="443" customWidth="1"/>
    <col min="16141" max="16141" width="18.21875" style="443" customWidth="1"/>
    <col min="16142" max="16384" width="9.21875" style="443"/>
  </cols>
  <sheetData>
    <row r="1" spans="1:13" x14ac:dyDescent="0.25">
      <c r="A1" s="444"/>
    </row>
    <row r="2" spans="1:13" s="44" customFormat="1" x14ac:dyDescent="0.25">
      <c r="A2" s="412" t="s">
        <v>986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s="44" customFormat="1" ht="10.199999999999999" x14ac:dyDescent="0.2"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</row>
    <row r="4" spans="1:13" s="136" customFormat="1" ht="45" customHeight="1" x14ac:dyDescent="0.25">
      <c r="A4" s="537" t="s">
        <v>156</v>
      </c>
      <c r="B4" s="681" t="s">
        <v>157</v>
      </c>
      <c r="C4" s="682"/>
      <c r="D4" s="681" t="s">
        <v>158</v>
      </c>
      <c r="E4" s="682"/>
      <c r="F4" s="681" t="s">
        <v>159</v>
      </c>
      <c r="G4" s="682"/>
      <c r="H4" s="681" t="s">
        <v>532</v>
      </c>
      <c r="I4" s="683"/>
    </row>
    <row r="5" spans="1:13" s="44" customFormat="1" ht="10.199999999999999" x14ac:dyDescent="0.2">
      <c r="A5" s="538" t="s">
        <v>155</v>
      </c>
      <c r="B5" s="539">
        <v>43465</v>
      </c>
      <c r="C5" s="539">
        <v>43100</v>
      </c>
      <c r="D5" s="539">
        <v>43465</v>
      </c>
      <c r="E5" s="539">
        <v>43100</v>
      </c>
      <c r="F5" s="539">
        <v>43465</v>
      </c>
      <c r="G5" s="539">
        <v>43100</v>
      </c>
      <c r="H5" s="539">
        <v>43465</v>
      </c>
      <c r="I5" s="539">
        <v>43100</v>
      </c>
    </row>
    <row r="6" spans="1:13" s="44" customFormat="1" ht="10.199999999999999" x14ac:dyDescent="0.2">
      <c r="A6" s="426" t="s">
        <v>661</v>
      </c>
      <c r="B6" s="540">
        <f>2233348+13906+2877+230+2668+23685+436</f>
        <v>2277150</v>
      </c>
      <c r="C6" s="540">
        <v>1958963</v>
      </c>
      <c r="D6" s="540">
        <f>1098761+500+1811+94503+3454+37023</f>
        <v>1236052</v>
      </c>
      <c r="E6" s="540">
        <f>1093543-65925</f>
        <v>1027618</v>
      </c>
      <c r="F6" s="540">
        <f>530487+2973+628205+353013+259565+282</f>
        <v>1774525</v>
      </c>
      <c r="G6" s="540">
        <v>1178914</v>
      </c>
      <c r="H6" s="540">
        <f>216862+21+4248</f>
        <v>221131</v>
      </c>
      <c r="I6" s="540">
        <f>964124-14250</f>
        <v>949874</v>
      </c>
    </row>
    <row r="7" spans="1:13" s="44" customFormat="1" ht="10.199999999999999" x14ac:dyDescent="0.2">
      <c r="A7" s="541" t="s">
        <v>266</v>
      </c>
      <c r="B7" s="540">
        <f>SUM(B8:B15)</f>
        <v>8060689</v>
      </c>
      <c r="C7" s="540">
        <f>C8+C9+C10+C12</f>
        <v>9555938</v>
      </c>
      <c r="D7" s="540">
        <f>+SUM(D8:D17)</f>
        <v>10282825</v>
      </c>
      <c r="E7" s="540">
        <f>+SUM(E8:E14)</f>
        <v>11728065</v>
      </c>
      <c r="F7" s="540">
        <f>SUM(F8:F15)</f>
        <v>2720501.26</v>
      </c>
      <c r="G7" s="540">
        <f>SUM(G8:G14)</f>
        <v>2853679</v>
      </c>
      <c r="H7" s="540">
        <f>SUM(H8:H17)</f>
        <v>4120625</v>
      </c>
      <c r="I7" s="540">
        <f>SUM(I8:I14)</f>
        <v>2574525</v>
      </c>
    </row>
    <row r="8" spans="1:13" s="44" customFormat="1" ht="10.199999999999999" x14ac:dyDescent="0.2">
      <c r="A8" s="426" t="s">
        <v>852</v>
      </c>
      <c r="B8" s="542">
        <f>942855</f>
        <v>942855</v>
      </c>
      <c r="C8" s="542">
        <v>233802</v>
      </c>
      <c r="D8" s="542">
        <f>1075788</f>
        <v>1075788</v>
      </c>
      <c r="E8" s="542">
        <v>1350719</v>
      </c>
      <c r="F8" s="542">
        <f>432485.26</f>
        <v>432485.26</v>
      </c>
      <c r="G8" s="542">
        <v>91150</v>
      </c>
      <c r="H8" s="542">
        <f>518267</f>
        <v>518267</v>
      </c>
      <c r="I8" s="542">
        <v>166790</v>
      </c>
    </row>
    <row r="9" spans="1:13" s="44" customFormat="1" ht="10.199999999999999" x14ac:dyDescent="0.2">
      <c r="A9" s="426" t="s">
        <v>682</v>
      </c>
      <c r="B9" s="542">
        <f>2826712+10000+37023+249</f>
        <v>2873984</v>
      </c>
      <c r="C9" s="542">
        <v>2828426</v>
      </c>
      <c r="D9" s="542">
        <f>5228894+45000+43585+94250</f>
        <v>5411729</v>
      </c>
      <c r="E9" s="542">
        <v>7210716</v>
      </c>
      <c r="F9" s="542">
        <f>1327712</f>
        <v>1327712</v>
      </c>
      <c r="G9" s="542">
        <v>1502998</v>
      </c>
      <c r="H9" s="542">
        <f>1373472+4920+22755</f>
        <v>1401147</v>
      </c>
      <c r="I9" s="542">
        <v>1340886</v>
      </c>
    </row>
    <row r="10" spans="1:13" s="44" customFormat="1" ht="10.199999999999999" x14ac:dyDescent="0.2">
      <c r="A10" s="426" t="s">
        <v>853</v>
      </c>
      <c r="B10" s="542">
        <f>4182647+306</f>
        <v>4182953</v>
      </c>
      <c r="C10" s="542">
        <f>6319157+690588-540035</f>
        <v>6469710</v>
      </c>
      <c r="D10" s="542">
        <f>2686230+71879+2668+249</f>
        <v>2761026</v>
      </c>
      <c r="E10" s="542">
        <f>3398831+101059-540035</f>
        <v>2959855</v>
      </c>
      <c r="F10" s="542">
        <v>953951</v>
      </c>
      <c r="G10" s="542">
        <v>1259531</v>
      </c>
      <c r="H10" s="542">
        <f>1053295+4840</f>
        <v>1058135</v>
      </c>
      <c r="I10" s="542">
        <v>691765</v>
      </c>
    </row>
    <row r="11" spans="1:13" s="44" customFormat="1" ht="10.199999999999999" x14ac:dyDescent="0.2">
      <c r="A11" s="426" t="s">
        <v>722</v>
      </c>
      <c r="B11" s="542">
        <v>0</v>
      </c>
      <c r="C11" s="542">
        <v>0</v>
      </c>
      <c r="D11" s="542">
        <v>0</v>
      </c>
      <c r="E11" s="542">
        <v>0</v>
      </c>
      <c r="F11" s="542">
        <v>0</v>
      </c>
      <c r="G11" s="542">
        <v>0</v>
      </c>
      <c r="H11" s="542">
        <v>0</v>
      </c>
      <c r="I11" s="542">
        <v>146753</v>
      </c>
    </row>
    <row r="12" spans="1:13" s="44" customFormat="1" ht="10.199999999999999" x14ac:dyDescent="0.2">
      <c r="A12" s="426" t="s">
        <v>854</v>
      </c>
      <c r="B12" s="542">
        <f>30712+1188+572</f>
        <v>32472</v>
      </c>
      <c r="C12" s="542">
        <v>24000</v>
      </c>
      <c r="D12" s="542">
        <f>91136+158850+98400+144360+23685</f>
        <v>516431</v>
      </c>
      <c r="E12" s="542">
        <f>25244+180000</f>
        <v>205244</v>
      </c>
      <c r="F12" s="542">
        <v>103</v>
      </c>
      <c r="G12" s="542">
        <v>0</v>
      </c>
      <c r="H12" s="542">
        <f>45597+628205+3752+10086+14760</f>
        <v>702400</v>
      </c>
      <c r="I12" s="542">
        <v>227962</v>
      </c>
    </row>
    <row r="13" spans="1:13" s="44" customFormat="1" ht="10.199999999999999" x14ac:dyDescent="0.2">
      <c r="A13" s="426" t="s">
        <v>855</v>
      </c>
      <c r="B13" s="542">
        <f>15371+8657+1892+52+1953</f>
        <v>27925</v>
      </c>
      <c r="C13" s="542" t="s">
        <v>723</v>
      </c>
      <c r="D13" s="542">
        <f>44588+172200+140000+140473</f>
        <v>497261</v>
      </c>
      <c r="E13" s="542" t="s">
        <v>723</v>
      </c>
      <c r="F13" s="542">
        <f>5083+1167</f>
        <v>6250</v>
      </c>
      <c r="G13" s="542" t="s">
        <v>723</v>
      </c>
      <c r="H13" s="542">
        <f>23959+21237+21228</f>
        <v>66424</v>
      </c>
      <c r="I13" s="542" t="s">
        <v>723</v>
      </c>
    </row>
    <row r="14" spans="1:13" s="44" customFormat="1" ht="10.199999999999999" x14ac:dyDescent="0.2">
      <c r="A14" s="426" t="s">
        <v>801</v>
      </c>
      <c r="B14" s="542">
        <v>500</v>
      </c>
      <c r="C14" s="542">
        <v>0</v>
      </c>
      <c r="D14" s="542">
        <v>13906</v>
      </c>
      <c r="E14" s="542">
        <f>731+800</f>
        <v>1531</v>
      </c>
      <c r="F14" s="542">
        <v>0</v>
      </c>
      <c r="G14" s="542">
        <v>0</v>
      </c>
      <c r="H14" s="542">
        <v>2973</v>
      </c>
      <c r="I14" s="542">
        <f>123+246</f>
        <v>369</v>
      </c>
    </row>
    <row r="15" spans="1:13" s="52" customFormat="1" ht="10.199999999999999" x14ac:dyDescent="0.2">
      <c r="A15" s="426" t="s">
        <v>856</v>
      </c>
      <c r="B15" s="542">
        <v>0</v>
      </c>
      <c r="C15" s="542" t="s">
        <v>723</v>
      </c>
      <c r="D15" s="542">
        <f>4018+436</f>
        <v>4454</v>
      </c>
      <c r="E15" s="542" t="s">
        <v>723</v>
      </c>
      <c r="F15" s="542">
        <v>0</v>
      </c>
      <c r="G15" s="542" t="s">
        <v>723</v>
      </c>
      <c r="H15" s="542">
        <f>15620+353013</f>
        <v>368633</v>
      </c>
      <c r="I15" s="542" t="s">
        <v>723</v>
      </c>
    </row>
    <row r="16" spans="1:13" s="44" customFormat="1" ht="10.199999999999999" x14ac:dyDescent="0.2">
      <c r="A16" s="426" t="s">
        <v>857</v>
      </c>
      <c r="B16" s="542">
        <v>0</v>
      </c>
      <c r="C16" s="542" t="s">
        <v>723</v>
      </c>
      <c r="D16" s="542">
        <f>300+1630</f>
        <v>1930</v>
      </c>
      <c r="E16" s="542" t="s">
        <v>723</v>
      </c>
      <c r="F16" s="542">
        <v>0</v>
      </c>
      <c r="G16" s="542" t="s">
        <v>723</v>
      </c>
      <c r="H16" s="542">
        <f>369+1908</f>
        <v>2277</v>
      </c>
      <c r="I16" s="542" t="s">
        <v>723</v>
      </c>
    </row>
    <row r="17" spans="1:13" s="44" customFormat="1" ht="10.199999999999999" x14ac:dyDescent="0.2">
      <c r="A17" s="426" t="s">
        <v>858</v>
      </c>
      <c r="B17" s="542">
        <v>0</v>
      </c>
      <c r="C17" s="542" t="s">
        <v>723</v>
      </c>
      <c r="D17" s="542">
        <v>300</v>
      </c>
      <c r="E17" s="542" t="s">
        <v>723</v>
      </c>
      <c r="F17" s="542">
        <v>0</v>
      </c>
      <c r="G17" s="542" t="s">
        <v>723</v>
      </c>
      <c r="H17" s="542">
        <v>369</v>
      </c>
      <c r="I17" s="542" t="s">
        <v>723</v>
      </c>
    </row>
    <row r="18" spans="1:13" x14ac:dyDescent="0.25">
      <c r="A18" s="541" t="s">
        <v>717</v>
      </c>
      <c r="B18" s="540">
        <f t="shared" ref="B18:I18" si="0">SUM(B19:B37)</f>
        <v>1208765</v>
      </c>
      <c r="C18" s="540">
        <f t="shared" si="0"/>
        <v>1262523</v>
      </c>
      <c r="D18" s="540">
        <f t="shared" si="0"/>
        <v>27727</v>
      </c>
      <c r="E18" s="540">
        <f t="shared" si="0"/>
        <v>21741</v>
      </c>
      <c r="F18" s="540">
        <f t="shared" si="0"/>
        <v>107847</v>
      </c>
      <c r="G18" s="540">
        <f t="shared" si="0"/>
        <v>100714</v>
      </c>
      <c r="H18" s="540">
        <f t="shared" si="0"/>
        <v>261117</v>
      </c>
      <c r="I18" s="540">
        <f t="shared" si="0"/>
        <v>608908.14</v>
      </c>
    </row>
    <row r="19" spans="1:13" s="44" customFormat="1" ht="10.199999999999999" x14ac:dyDescent="0.2">
      <c r="A19" s="426" t="s">
        <v>756</v>
      </c>
      <c r="B19" s="543">
        <v>1811</v>
      </c>
      <c r="C19" s="543">
        <f>6013+4000+2000</f>
        <v>12013</v>
      </c>
      <c r="D19" s="543">
        <v>0</v>
      </c>
      <c r="E19" s="543">
        <v>0</v>
      </c>
      <c r="F19" s="543">
        <v>0</v>
      </c>
      <c r="G19" s="543">
        <f>4920</f>
        <v>4920</v>
      </c>
      <c r="H19" s="543">
        <v>0</v>
      </c>
      <c r="I19" s="543">
        <v>0</v>
      </c>
    </row>
    <row r="20" spans="1:13" s="44" customFormat="1" ht="10.199999999999999" x14ac:dyDescent="0.2">
      <c r="A20" s="426" t="s">
        <v>859</v>
      </c>
      <c r="B20" s="542" t="s">
        <v>723</v>
      </c>
      <c r="C20" s="542">
        <v>0</v>
      </c>
      <c r="D20" s="542" t="s">
        <v>723</v>
      </c>
      <c r="E20" s="542">
        <v>6234</v>
      </c>
      <c r="F20" s="542" t="s">
        <v>723</v>
      </c>
      <c r="G20" s="542">
        <v>0</v>
      </c>
      <c r="H20" s="542" t="s">
        <v>723</v>
      </c>
      <c r="I20" s="542">
        <f>378</f>
        <v>378</v>
      </c>
    </row>
    <row r="21" spans="1:13" s="44" customFormat="1" ht="10.199999999999999" x14ac:dyDescent="0.2">
      <c r="A21" s="426" t="s">
        <v>683</v>
      </c>
      <c r="B21" s="542">
        <v>0</v>
      </c>
      <c r="C21" s="542">
        <f>46196+46196+33330</f>
        <v>125722</v>
      </c>
      <c r="D21" s="542">
        <v>230</v>
      </c>
      <c r="E21" s="542">
        <v>0</v>
      </c>
      <c r="F21" s="542">
        <v>0</v>
      </c>
      <c r="G21" s="542">
        <v>20498</v>
      </c>
      <c r="H21" s="542">
        <v>282</v>
      </c>
      <c r="I21" s="542">
        <v>0</v>
      </c>
    </row>
    <row r="22" spans="1:13" s="506" customFormat="1" ht="10.199999999999999" x14ac:dyDescent="0.2">
      <c r="A22" s="426" t="s">
        <v>684</v>
      </c>
      <c r="B22" s="542">
        <v>0</v>
      </c>
      <c r="C22" s="542">
        <v>0</v>
      </c>
      <c r="D22" s="542">
        <v>0</v>
      </c>
      <c r="E22" s="542">
        <v>0</v>
      </c>
      <c r="F22" s="542">
        <v>0</v>
      </c>
      <c r="G22" s="542">
        <v>2000</v>
      </c>
      <c r="H22" s="542">
        <v>0</v>
      </c>
      <c r="I22" s="542">
        <v>0</v>
      </c>
    </row>
    <row r="23" spans="1:13" s="44" customFormat="1" ht="10.199999999999999" x14ac:dyDescent="0.2">
      <c r="A23" s="544" t="s">
        <v>712</v>
      </c>
      <c r="B23" s="542" t="s">
        <v>723</v>
      </c>
      <c r="C23" s="542">
        <f>216312</f>
        <v>216312</v>
      </c>
      <c r="D23" s="542" t="s">
        <v>723</v>
      </c>
      <c r="E23" s="542">
        <v>0</v>
      </c>
      <c r="F23" s="542" t="s">
        <v>723</v>
      </c>
      <c r="G23" s="542">
        <f>25535</f>
        <v>25535</v>
      </c>
      <c r="H23" s="542" t="s">
        <v>723</v>
      </c>
      <c r="I23" s="542">
        <v>0</v>
      </c>
    </row>
    <row r="24" spans="1:13" s="44" customFormat="1" ht="10.199999999999999" x14ac:dyDescent="0.2">
      <c r="A24" s="544" t="s">
        <v>757</v>
      </c>
      <c r="B24" s="542">
        <v>43585</v>
      </c>
      <c r="C24" s="542">
        <f>167728</f>
        <v>167728</v>
      </c>
      <c r="D24" s="542">
        <v>0</v>
      </c>
      <c r="E24" s="542">
        <v>0</v>
      </c>
      <c r="F24" s="542">
        <v>0</v>
      </c>
      <c r="G24" s="542">
        <v>0</v>
      </c>
      <c r="H24" s="542">
        <v>0</v>
      </c>
      <c r="I24" s="542">
        <v>0</v>
      </c>
    </row>
    <row r="25" spans="1:13" s="44" customFormat="1" ht="10.199999999999999" x14ac:dyDescent="0.2">
      <c r="A25" s="426" t="s">
        <v>860</v>
      </c>
      <c r="B25" s="542" t="s">
        <v>723</v>
      </c>
      <c r="C25" s="542">
        <f>25167+55423+1020</f>
        <v>81610</v>
      </c>
      <c r="D25" s="542" t="s">
        <v>723</v>
      </c>
      <c r="E25" s="542">
        <f>1167+2723+10200</f>
        <v>14090</v>
      </c>
      <c r="F25" s="542" t="s">
        <v>723</v>
      </c>
      <c r="G25" s="542">
        <v>0</v>
      </c>
      <c r="H25" s="542" t="s">
        <v>723</v>
      </c>
      <c r="I25" s="542">
        <v>0</v>
      </c>
    </row>
    <row r="26" spans="1:13" s="44" customFormat="1" ht="10.199999999999999" x14ac:dyDescent="0.2">
      <c r="A26" s="426" t="s">
        <v>802</v>
      </c>
      <c r="B26" s="542">
        <v>71879</v>
      </c>
      <c r="C26" s="542">
        <f>119057</f>
        <v>119057</v>
      </c>
      <c r="D26" s="542">
        <v>306</v>
      </c>
      <c r="E26" s="542">
        <v>965</v>
      </c>
      <c r="F26" s="542">
        <v>4840</v>
      </c>
      <c r="G26" s="542">
        <v>12466</v>
      </c>
      <c r="H26" s="542">
        <v>0</v>
      </c>
      <c r="I26" s="542">
        <v>0</v>
      </c>
    </row>
    <row r="27" spans="1:13" s="44" customFormat="1" ht="10.199999999999999" x14ac:dyDescent="0.2">
      <c r="A27" s="426" t="s">
        <v>803</v>
      </c>
      <c r="B27" s="542">
        <v>0</v>
      </c>
      <c r="C27" s="542">
        <f>205930</f>
        <v>205930</v>
      </c>
      <c r="D27" s="542">
        <v>0</v>
      </c>
      <c r="E27" s="542">
        <v>0</v>
      </c>
      <c r="F27" s="542">
        <v>0</v>
      </c>
      <c r="G27" s="542">
        <v>0</v>
      </c>
      <c r="H27" s="542">
        <v>0</v>
      </c>
      <c r="I27" s="542">
        <v>0</v>
      </c>
    </row>
    <row r="28" spans="1:13" s="44" customFormat="1" ht="10.199999999999999" x14ac:dyDescent="0.2">
      <c r="A28" s="426" t="s">
        <v>804</v>
      </c>
      <c r="B28" s="542">
        <v>0</v>
      </c>
      <c r="C28" s="542">
        <v>0</v>
      </c>
      <c r="D28" s="542">
        <f>10000+2877</f>
        <v>12877</v>
      </c>
      <c r="E28" s="542">
        <v>0</v>
      </c>
      <c r="F28" s="542">
        <v>0</v>
      </c>
      <c r="G28" s="542">
        <v>0</v>
      </c>
      <c r="H28" s="542">
        <f>259565</f>
        <v>259565</v>
      </c>
      <c r="I28" s="542">
        <f>501630.14+106900</f>
        <v>608530.14</v>
      </c>
    </row>
    <row r="29" spans="1:13" s="44" customFormat="1" ht="10.199999999999999" x14ac:dyDescent="0.2">
      <c r="A29" s="426" t="s">
        <v>861</v>
      </c>
      <c r="B29" s="542">
        <v>158850</v>
      </c>
      <c r="C29" s="542">
        <v>180000</v>
      </c>
      <c r="D29" s="542">
        <v>1188</v>
      </c>
      <c r="E29" s="542">
        <v>0</v>
      </c>
      <c r="F29" s="542">
        <v>3752</v>
      </c>
      <c r="G29" s="542">
        <v>15000</v>
      </c>
      <c r="H29" s="542">
        <v>0</v>
      </c>
      <c r="I29" s="542">
        <v>0</v>
      </c>
    </row>
    <row r="30" spans="1:13" s="44" customFormat="1" ht="10.199999999999999" x14ac:dyDescent="0.2">
      <c r="A30" s="426" t="s">
        <v>862</v>
      </c>
      <c r="B30" s="542">
        <f>94250+94503</f>
        <v>188753</v>
      </c>
      <c r="C30" s="542" t="s">
        <v>723</v>
      </c>
      <c r="D30" s="542"/>
      <c r="E30" s="542" t="s">
        <v>723</v>
      </c>
      <c r="F30" s="542">
        <f>22755+21</f>
        <v>22776</v>
      </c>
      <c r="G30" s="542" t="s">
        <v>723</v>
      </c>
      <c r="H30" s="542">
        <v>0</v>
      </c>
      <c r="I30" s="542" t="s">
        <v>723</v>
      </c>
    </row>
    <row r="31" spans="1:13" s="44" customFormat="1" ht="10.199999999999999" x14ac:dyDescent="0.2">
      <c r="A31" s="426" t="s">
        <v>863</v>
      </c>
      <c r="B31" s="542">
        <v>140000</v>
      </c>
      <c r="C31" s="542" t="s">
        <v>723</v>
      </c>
      <c r="D31" s="542">
        <f>1892+52</f>
        <v>1944</v>
      </c>
      <c r="E31" s="542" t="s">
        <v>723</v>
      </c>
      <c r="F31" s="542">
        <v>21237</v>
      </c>
      <c r="G31" s="542" t="s">
        <v>723</v>
      </c>
      <c r="H31" s="542">
        <v>0</v>
      </c>
      <c r="I31" s="542" t="s">
        <v>723</v>
      </c>
      <c r="J31" s="136"/>
      <c r="K31" s="136"/>
      <c r="L31" s="136"/>
      <c r="M31" s="136"/>
    </row>
    <row r="32" spans="1:13" x14ac:dyDescent="0.25">
      <c r="A32" s="426" t="s">
        <v>864</v>
      </c>
      <c r="B32" s="542">
        <v>140473</v>
      </c>
      <c r="C32" s="542" t="s">
        <v>723</v>
      </c>
      <c r="D32" s="542">
        <v>1953</v>
      </c>
      <c r="E32" s="542" t="s">
        <v>723</v>
      </c>
      <c r="F32" s="542">
        <v>21228</v>
      </c>
      <c r="G32" s="542" t="s">
        <v>723</v>
      </c>
      <c r="H32" s="542">
        <v>0</v>
      </c>
      <c r="I32" s="542" t="s">
        <v>723</v>
      </c>
    </row>
    <row r="33" spans="1:9" x14ac:dyDescent="0.25">
      <c r="A33" s="426" t="s">
        <v>865</v>
      </c>
      <c r="B33" s="542">
        <v>172200</v>
      </c>
      <c r="C33" s="542" t="s">
        <v>723</v>
      </c>
      <c r="D33" s="542">
        <v>8657</v>
      </c>
      <c r="E33" s="542" t="s">
        <v>723</v>
      </c>
      <c r="F33" s="542">
        <v>0</v>
      </c>
      <c r="G33" s="542" t="s">
        <v>723</v>
      </c>
      <c r="H33" s="542">
        <v>1167</v>
      </c>
      <c r="I33" s="542" t="s">
        <v>723</v>
      </c>
    </row>
    <row r="34" spans="1:9" x14ac:dyDescent="0.25">
      <c r="A34" s="426" t="s">
        <v>866</v>
      </c>
      <c r="B34" s="542">
        <v>3454</v>
      </c>
      <c r="C34" s="542" t="s">
        <v>723</v>
      </c>
      <c r="D34" s="542">
        <v>0</v>
      </c>
      <c r="E34" s="542" t="s">
        <v>723</v>
      </c>
      <c r="F34" s="542">
        <v>4248</v>
      </c>
      <c r="G34" s="542" t="s">
        <v>723</v>
      </c>
      <c r="H34" s="542">
        <v>0</v>
      </c>
      <c r="I34" s="542" t="s">
        <v>723</v>
      </c>
    </row>
    <row r="35" spans="1:9" x14ac:dyDescent="0.25">
      <c r="A35" s="426" t="s">
        <v>867</v>
      </c>
      <c r="B35" s="542">
        <v>98400</v>
      </c>
      <c r="C35" s="542" t="s">
        <v>723</v>
      </c>
      <c r="D35" s="542">
        <v>0</v>
      </c>
      <c r="E35" s="542" t="s">
        <v>723</v>
      </c>
      <c r="F35" s="542">
        <v>10086</v>
      </c>
      <c r="G35" s="542" t="s">
        <v>723</v>
      </c>
      <c r="H35" s="542">
        <v>0</v>
      </c>
      <c r="I35" s="542" t="s">
        <v>723</v>
      </c>
    </row>
    <row r="36" spans="1:9" x14ac:dyDescent="0.25">
      <c r="A36" s="426" t="s">
        <v>868</v>
      </c>
      <c r="B36" s="542">
        <v>144360</v>
      </c>
      <c r="C36" s="542" t="s">
        <v>723</v>
      </c>
      <c r="D36" s="542">
        <v>572</v>
      </c>
      <c r="E36" s="542" t="s">
        <v>723</v>
      </c>
      <c r="F36" s="542">
        <v>14760</v>
      </c>
      <c r="G36" s="542" t="s">
        <v>723</v>
      </c>
      <c r="H36" s="542">
        <v>103</v>
      </c>
      <c r="I36" s="542" t="s">
        <v>723</v>
      </c>
    </row>
    <row r="37" spans="1:9" x14ac:dyDescent="0.25">
      <c r="A37" s="426" t="s">
        <v>805</v>
      </c>
      <c r="B37" s="542">
        <v>45000</v>
      </c>
      <c r="C37" s="542">
        <f>39101+115050</f>
        <v>154151</v>
      </c>
      <c r="D37" s="542">
        <v>0</v>
      </c>
      <c r="E37" s="542">
        <v>452</v>
      </c>
      <c r="F37" s="542">
        <v>4920</v>
      </c>
      <c r="G37" s="542">
        <f>20295</f>
        <v>20295</v>
      </c>
      <c r="H37" s="542">
        <v>0</v>
      </c>
      <c r="I37" s="542">
        <v>0</v>
      </c>
    </row>
  </sheetData>
  <mergeCells count="4">
    <mergeCell ref="F4:G4"/>
    <mergeCell ref="D4:E4"/>
    <mergeCell ref="B4:C4"/>
    <mergeCell ref="H4:I4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53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/>
  <dimension ref="A1:E103"/>
  <sheetViews>
    <sheetView showGridLines="0" view="pageBreakPreview" topLeftCell="A19" zoomScaleNormal="100" zoomScaleSheetLayoutView="100" workbookViewId="0">
      <selection activeCell="A11" sqref="A11:B11"/>
    </sheetView>
  </sheetViews>
  <sheetFormatPr defaultColWidth="9.21875" defaultRowHeight="10.199999999999999" x14ac:dyDescent="0.2"/>
  <cols>
    <col min="1" max="1" width="41.5546875" style="41" customWidth="1"/>
    <col min="2" max="2" width="16" style="41" customWidth="1"/>
    <col min="3" max="5" width="15.21875" style="41" customWidth="1"/>
    <col min="6" max="16384" width="9.21875" style="41"/>
  </cols>
  <sheetData>
    <row r="1" spans="1:5" s="44" customFormat="1" x14ac:dyDescent="0.2">
      <c r="A1" s="180"/>
      <c r="B1" s="180"/>
    </row>
    <row r="2" spans="1:5" ht="11.25" customHeight="1" x14ac:dyDescent="0.25">
      <c r="A2" s="412" t="s">
        <v>987</v>
      </c>
      <c r="B2" s="412"/>
    </row>
    <row r="3" spans="1:5" x14ac:dyDescent="0.2">
      <c r="A3" s="210"/>
      <c r="B3" s="207"/>
    </row>
    <row r="4" spans="1:5" s="1" customFormat="1" x14ac:dyDescent="0.2">
      <c r="A4" s="133" t="s">
        <v>23</v>
      </c>
      <c r="B4" s="133"/>
    </row>
    <row r="5" spans="1:5" s="1" customFormat="1" ht="20.399999999999999" x14ac:dyDescent="0.2">
      <c r="A5" s="647"/>
      <c r="B5" s="648"/>
      <c r="C5" s="117" t="str">
        <f>'Dane podstawowe'!$B$7</f>
        <v>01.01.2018-31.12.2018</v>
      </c>
      <c r="D5" s="117" t="str">
        <f>'Dane podstawowe'!$B$12</f>
        <v>01.01.2017-31.12.2017</v>
      </c>
    </row>
    <row r="6" spans="1:5" s="204" customFormat="1" ht="10.050000000000001" customHeight="1" x14ac:dyDescent="0.2">
      <c r="A6" s="692" t="s">
        <v>9</v>
      </c>
      <c r="B6" s="693"/>
      <c r="C6" s="509">
        <v>2277928</v>
      </c>
      <c r="D6" s="509">
        <v>1558725</v>
      </c>
    </row>
    <row r="7" spans="1:5" s="204" customFormat="1" x14ac:dyDescent="0.2">
      <c r="A7" s="574" t="s">
        <v>721</v>
      </c>
      <c r="B7" s="575"/>
      <c r="C7" s="509">
        <v>820171</v>
      </c>
      <c r="D7" s="509">
        <v>342520</v>
      </c>
    </row>
    <row r="8" spans="1:5" s="204" customFormat="1" x14ac:dyDescent="0.2">
      <c r="A8" s="574" t="s">
        <v>758</v>
      </c>
      <c r="B8" s="575"/>
      <c r="C8" s="509">
        <v>0</v>
      </c>
      <c r="D8" s="509">
        <v>160050</v>
      </c>
    </row>
    <row r="9" spans="1:5" s="1" customFormat="1" x14ac:dyDescent="0.2">
      <c r="A9" s="694" t="s">
        <v>10</v>
      </c>
      <c r="B9" s="695"/>
      <c r="C9" s="509">
        <v>0</v>
      </c>
      <c r="D9" s="509">
        <v>0</v>
      </c>
    </row>
    <row r="10" spans="1:5" s="204" customFormat="1" x14ac:dyDescent="0.2">
      <c r="A10" s="694" t="s">
        <v>11</v>
      </c>
      <c r="B10" s="695"/>
      <c r="C10" s="509">
        <v>0</v>
      </c>
      <c r="D10" s="509">
        <v>0</v>
      </c>
    </row>
    <row r="11" spans="1:5" s="1" customFormat="1" x14ac:dyDescent="0.2">
      <c r="A11" s="694" t="s">
        <v>12</v>
      </c>
      <c r="B11" s="695"/>
      <c r="C11" s="509">
        <v>0</v>
      </c>
      <c r="D11" s="509">
        <v>0</v>
      </c>
    </row>
    <row r="12" spans="1:5" s="204" customFormat="1" x14ac:dyDescent="0.2">
      <c r="A12" s="694" t="s">
        <v>13</v>
      </c>
      <c r="B12" s="695"/>
      <c r="C12" s="509">
        <v>0</v>
      </c>
      <c r="D12" s="509">
        <v>0</v>
      </c>
    </row>
    <row r="13" spans="1:5" s="204" customFormat="1" x14ac:dyDescent="0.2">
      <c r="A13" s="696" t="s">
        <v>582</v>
      </c>
      <c r="B13" s="697"/>
      <c r="C13" s="509">
        <v>0</v>
      </c>
      <c r="D13" s="509">
        <v>0</v>
      </c>
    </row>
    <row r="14" spans="1:5" x14ac:dyDescent="0.2">
      <c r="A14" s="684" t="s">
        <v>24</v>
      </c>
      <c r="B14" s="685"/>
      <c r="C14" s="45">
        <f>SUM(C6:C13)</f>
        <v>3098099</v>
      </c>
      <c r="D14" s="45">
        <f>SUM(D6:D13)</f>
        <v>2061295</v>
      </c>
    </row>
    <row r="15" spans="1:5" x14ac:dyDescent="0.2">
      <c r="A15" s="75"/>
      <c r="B15" s="75"/>
      <c r="C15" s="244"/>
      <c r="D15" s="244"/>
      <c r="E15" s="244"/>
    </row>
    <row r="16" spans="1:5" s="1" customFormat="1" x14ac:dyDescent="0.2">
      <c r="A16" s="133"/>
      <c r="B16" s="133"/>
    </row>
    <row r="17" spans="1:4" s="1" customFormat="1" x14ac:dyDescent="0.2">
      <c r="A17" s="155" t="s">
        <v>122</v>
      </c>
      <c r="B17" s="155"/>
    </row>
    <row r="18" spans="1:4" s="1" customFormat="1" ht="20.399999999999999" x14ac:dyDescent="0.2">
      <c r="A18" s="647"/>
      <c r="B18" s="648"/>
      <c r="C18" s="117" t="str">
        <f>'Dane podstawowe'!$B$7</f>
        <v>01.01.2018-31.12.2018</v>
      </c>
      <c r="D18" s="117" t="str">
        <f>'Dane podstawowe'!$B$12</f>
        <v>01.01.2017-31.12.2017</v>
      </c>
    </row>
    <row r="19" spans="1:4" s="204" customFormat="1" ht="10.050000000000001" customHeight="1" x14ac:dyDescent="0.2">
      <c r="A19" s="690" t="s">
        <v>9</v>
      </c>
      <c r="B19" s="691"/>
      <c r="C19" s="510">
        <v>2351793</v>
      </c>
      <c r="D19" s="510">
        <v>912394</v>
      </c>
    </row>
    <row r="20" spans="1:4" s="204" customFormat="1" x14ac:dyDescent="0.2">
      <c r="A20" s="572" t="s">
        <v>721</v>
      </c>
      <c r="B20" s="573"/>
      <c r="C20" s="510">
        <v>50303.27</v>
      </c>
      <c r="D20" s="510">
        <v>0</v>
      </c>
    </row>
    <row r="21" spans="1:4" s="1" customFormat="1" x14ac:dyDescent="0.2">
      <c r="A21" s="686" t="s">
        <v>10</v>
      </c>
      <c r="B21" s="687"/>
      <c r="C21" s="510">
        <v>0</v>
      </c>
      <c r="D21" s="510">
        <v>0</v>
      </c>
    </row>
    <row r="22" spans="1:4" s="204" customFormat="1" x14ac:dyDescent="0.2">
      <c r="A22" s="686" t="s">
        <v>11</v>
      </c>
      <c r="B22" s="687"/>
      <c r="C22" s="510">
        <v>0</v>
      </c>
      <c r="D22" s="510">
        <v>0</v>
      </c>
    </row>
    <row r="23" spans="1:4" s="1" customFormat="1" x14ac:dyDescent="0.2">
      <c r="A23" s="686" t="s">
        <v>12</v>
      </c>
      <c r="B23" s="687"/>
      <c r="C23" s="510">
        <v>22608</v>
      </c>
      <c r="D23" s="510">
        <v>0</v>
      </c>
    </row>
    <row r="24" spans="1:4" s="204" customFormat="1" x14ac:dyDescent="0.2">
      <c r="A24" s="686" t="s">
        <v>13</v>
      </c>
      <c r="B24" s="687"/>
      <c r="C24" s="510">
        <v>0</v>
      </c>
      <c r="D24" s="510">
        <v>0</v>
      </c>
    </row>
    <row r="25" spans="1:4" x14ac:dyDescent="0.2">
      <c r="A25" s="684" t="s">
        <v>24</v>
      </c>
      <c r="B25" s="685"/>
      <c r="C25" s="45">
        <f>SUM(C19:C24)</f>
        <v>2424704.27</v>
      </c>
      <c r="D25" s="45">
        <f>SUM(D19:D24)</f>
        <v>912394</v>
      </c>
    </row>
    <row r="26" spans="1:4" x14ac:dyDescent="0.2">
      <c r="A26" s="75"/>
      <c r="B26" s="75"/>
      <c r="C26" s="244"/>
      <c r="D26" s="244"/>
    </row>
    <row r="27" spans="1:4" x14ac:dyDescent="0.2">
      <c r="A27" s="75"/>
      <c r="B27" s="75"/>
      <c r="C27" s="244"/>
      <c r="D27" s="244"/>
    </row>
    <row r="28" spans="1:4" x14ac:dyDescent="0.2">
      <c r="A28" s="133" t="s">
        <v>732</v>
      </c>
      <c r="B28" s="133"/>
      <c r="C28" s="1"/>
      <c r="D28" s="1"/>
    </row>
    <row r="29" spans="1:4" ht="20.399999999999999" x14ac:dyDescent="0.2">
      <c r="A29" s="647"/>
      <c r="B29" s="648"/>
      <c r="C29" s="117" t="str">
        <f>'Dane podstawowe'!$B$7</f>
        <v>01.01.2018-31.12.2018</v>
      </c>
      <c r="D29" s="117" t="str">
        <f>D18</f>
        <v>01.01.2017-31.12.2017</v>
      </c>
    </row>
    <row r="30" spans="1:4" ht="10.050000000000001" customHeight="1" x14ac:dyDescent="0.2">
      <c r="A30" s="690" t="s">
        <v>9</v>
      </c>
      <c r="B30" s="691"/>
      <c r="C30" s="510">
        <v>83183</v>
      </c>
      <c r="D30" s="510">
        <v>230648</v>
      </c>
    </row>
    <row r="31" spans="1:4" x14ac:dyDescent="0.2">
      <c r="A31" s="572" t="s">
        <v>721</v>
      </c>
      <c r="B31" s="573"/>
      <c r="C31" s="510">
        <v>0</v>
      </c>
      <c r="D31" s="510">
        <v>0</v>
      </c>
    </row>
    <row r="32" spans="1:4" x14ac:dyDescent="0.2">
      <c r="A32" s="686" t="s">
        <v>10</v>
      </c>
      <c r="B32" s="687"/>
      <c r="C32" s="510">
        <v>0</v>
      </c>
      <c r="D32" s="510">
        <v>0</v>
      </c>
    </row>
    <row r="33" spans="1:4" x14ac:dyDescent="0.2">
      <c r="A33" s="686" t="s">
        <v>11</v>
      </c>
      <c r="B33" s="687"/>
      <c r="C33" s="510">
        <v>0</v>
      </c>
      <c r="D33" s="510">
        <v>0</v>
      </c>
    </row>
    <row r="34" spans="1:4" x14ac:dyDescent="0.2">
      <c r="A34" s="686" t="s">
        <v>12</v>
      </c>
      <c r="B34" s="687"/>
      <c r="C34" s="510">
        <v>0</v>
      </c>
      <c r="D34" s="510">
        <v>0</v>
      </c>
    </row>
    <row r="35" spans="1:4" x14ac:dyDescent="0.2">
      <c r="A35" s="686" t="s">
        <v>13</v>
      </c>
      <c r="B35" s="687"/>
      <c r="C35" s="510">
        <v>0</v>
      </c>
      <c r="D35" s="510">
        <v>0</v>
      </c>
    </row>
    <row r="36" spans="1:4" x14ac:dyDescent="0.2">
      <c r="A36" s="688" t="s">
        <v>582</v>
      </c>
      <c r="B36" s="689"/>
      <c r="C36" s="510">
        <v>0</v>
      </c>
      <c r="D36" s="510">
        <v>0</v>
      </c>
    </row>
    <row r="37" spans="1:4" x14ac:dyDescent="0.2">
      <c r="A37" s="684" t="s">
        <v>24</v>
      </c>
      <c r="B37" s="685"/>
      <c r="C37" s="45">
        <f>SUM(C30:C36)</f>
        <v>83183</v>
      </c>
      <c r="D37" s="45">
        <f>SUM(D30:D36)</f>
        <v>230648</v>
      </c>
    </row>
    <row r="38" spans="1:4" x14ac:dyDescent="0.2">
      <c r="A38" s="75"/>
      <c r="B38" s="75"/>
      <c r="C38" s="244"/>
      <c r="D38" s="244"/>
    </row>
    <row r="39" spans="1:4" x14ac:dyDescent="0.2">
      <c r="A39" s="75"/>
      <c r="B39" s="75"/>
      <c r="C39" s="244"/>
      <c r="D39" s="244"/>
    </row>
    <row r="40" spans="1:4" x14ac:dyDescent="0.2">
      <c r="A40" s="116"/>
      <c r="B40" s="116"/>
    </row>
    <row r="41" spans="1:4" s="4" customFormat="1" ht="20.399999999999999" hidden="1" x14ac:dyDescent="0.25">
      <c r="A41" s="118" t="s">
        <v>0</v>
      </c>
      <c r="B41" s="118" t="s">
        <v>414</v>
      </c>
      <c r="C41" s="118" t="str">
        <f>'Dane podstawowe'!$B$7</f>
        <v>01.01.2018-31.12.2018</v>
      </c>
      <c r="D41" s="118"/>
    </row>
    <row r="42" spans="1:4" s="1" customFormat="1" ht="11.25" hidden="1" customHeight="1" x14ac:dyDescent="0.2">
      <c r="A42" s="455" t="s">
        <v>25</v>
      </c>
      <c r="B42" s="456"/>
      <c r="C42" s="456"/>
      <c r="D42" s="456"/>
    </row>
    <row r="43" spans="1:4" s="1" customFormat="1" hidden="1" x14ac:dyDescent="0.2">
      <c r="A43" s="49" t="s">
        <v>0</v>
      </c>
      <c r="B43" s="250"/>
      <c r="C43" s="156"/>
      <c r="D43" s="156"/>
    </row>
    <row r="44" spans="1:4" s="1" customFormat="1" hidden="1" x14ac:dyDescent="0.2">
      <c r="A44" s="49" t="s">
        <v>0</v>
      </c>
      <c r="B44" s="250"/>
      <c r="C44" s="156"/>
      <c r="D44" s="156"/>
    </row>
    <row r="45" spans="1:4" s="1" customFormat="1" hidden="1" x14ac:dyDescent="0.2">
      <c r="A45" s="49" t="s">
        <v>0</v>
      </c>
      <c r="B45" s="250"/>
      <c r="C45" s="156"/>
      <c r="D45" s="156"/>
    </row>
    <row r="46" spans="1:4" s="1" customFormat="1" hidden="1" x14ac:dyDescent="0.2">
      <c r="A46" s="49" t="s">
        <v>0</v>
      </c>
      <c r="B46" s="250"/>
      <c r="C46" s="156"/>
      <c r="D46" s="156"/>
    </row>
    <row r="47" spans="1:4" s="1" customFormat="1" hidden="1" x14ac:dyDescent="0.2">
      <c r="A47" s="50" t="s">
        <v>554</v>
      </c>
      <c r="B47" s="251"/>
      <c r="C47" s="177">
        <f>SUM(C43:C46)</f>
        <v>0</v>
      </c>
      <c r="D47" s="177"/>
    </row>
    <row r="48" spans="1:4" s="1" customFormat="1" hidden="1" x14ac:dyDescent="0.2">
      <c r="A48" s="457" t="s">
        <v>123</v>
      </c>
      <c r="B48" s="458"/>
      <c r="C48" s="458"/>
      <c r="D48" s="458"/>
    </row>
    <row r="49" spans="1:4" s="1" customFormat="1" hidden="1" x14ac:dyDescent="0.2">
      <c r="A49" s="49" t="s">
        <v>0</v>
      </c>
      <c r="B49" s="250"/>
      <c r="C49" s="156"/>
      <c r="D49" s="156"/>
    </row>
    <row r="50" spans="1:4" s="1" customFormat="1" hidden="1" x14ac:dyDescent="0.2">
      <c r="A50" s="49" t="s">
        <v>0</v>
      </c>
      <c r="B50" s="250"/>
      <c r="C50" s="156"/>
      <c r="D50" s="156"/>
    </row>
    <row r="51" spans="1:4" s="1" customFormat="1" hidden="1" x14ac:dyDescent="0.2">
      <c r="A51" s="49" t="s">
        <v>0</v>
      </c>
      <c r="B51" s="250"/>
      <c r="C51" s="156"/>
      <c r="D51" s="156"/>
    </row>
    <row r="52" spans="1:4" s="1" customFormat="1" hidden="1" x14ac:dyDescent="0.2">
      <c r="A52" s="49" t="s">
        <v>0</v>
      </c>
      <c r="B52" s="250"/>
      <c r="C52" s="156"/>
      <c r="D52" s="156"/>
    </row>
    <row r="53" spans="1:4" s="1" customFormat="1" hidden="1" x14ac:dyDescent="0.2">
      <c r="A53" s="50" t="s">
        <v>310</v>
      </c>
      <c r="B53" s="251"/>
      <c r="C53" s="177">
        <f>SUM(C49:C52)</f>
        <v>0</v>
      </c>
      <c r="D53" s="177"/>
    </row>
    <row r="54" spans="1:4" s="1" customFormat="1" hidden="1" x14ac:dyDescent="0.2">
      <c r="A54" s="457" t="s">
        <v>26</v>
      </c>
      <c r="B54" s="458"/>
      <c r="C54" s="458"/>
      <c r="D54" s="458"/>
    </row>
    <row r="55" spans="1:4" s="1" customFormat="1" hidden="1" x14ac:dyDescent="0.2">
      <c r="A55" s="49" t="s">
        <v>0</v>
      </c>
      <c r="B55" s="250"/>
      <c r="C55" s="156"/>
      <c r="D55" s="156"/>
    </row>
    <row r="56" spans="1:4" s="1" customFormat="1" hidden="1" x14ac:dyDescent="0.2">
      <c r="A56" s="49" t="s">
        <v>0</v>
      </c>
      <c r="B56" s="250"/>
      <c r="C56" s="156"/>
      <c r="D56" s="156"/>
    </row>
    <row r="57" spans="1:4" s="1" customFormat="1" hidden="1" x14ac:dyDescent="0.2">
      <c r="A57" s="49" t="s">
        <v>0</v>
      </c>
      <c r="B57" s="250"/>
      <c r="C57" s="156"/>
      <c r="D57" s="156"/>
    </row>
    <row r="58" spans="1:4" s="1" customFormat="1" hidden="1" x14ac:dyDescent="0.2">
      <c r="A58" s="49" t="s">
        <v>0</v>
      </c>
      <c r="B58" s="250"/>
      <c r="C58" s="156"/>
      <c r="D58" s="156"/>
    </row>
    <row r="59" spans="1:4" s="1" customFormat="1" hidden="1" x14ac:dyDescent="0.2">
      <c r="A59" s="50" t="s">
        <v>310</v>
      </c>
      <c r="B59" s="251"/>
      <c r="C59" s="177">
        <f>SUM(C55:C58)</f>
        <v>0</v>
      </c>
      <c r="D59" s="177"/>
    </row>
    <row r="60" spans="1:4" x14ac:dyDescent="0.2">
      <c r="A60" s="3"/>
      <c r="B60" s="3"/>
      <c r="C60" s="5"/>
      <c r="D60" s="5"/>
    </row>
    <row r="61" spans="1:4" x14ac:dyDescent="0.2">
      <c r="A61" s="3"/>
      <c r="B61" s="3"/>
      <c r="C61" s="5"/>
      <c r="D61" s="5"/>
    </row>
    <row r="62" spans="1:4" x14ac:dyDescent="0.2">
      <c r="A62" s="3"/>
      <c r="B62" s="3"/>
      <c r="C62" s="5"/>
      <c r="D62" s="5"/>
    </row>
    <row r="63" spans="1:4" x14ac:dyDescent="0.2">
      <c r="A63" s="3"/>
      <c r="B63" s="3"/>
      <c r="C63" s="5"/>
      <c r="D63" s="5"/>
    </row>
    <row r="64" spans="1:4" x14ac:dyDescent="0.2">
      <c r="A64" s="3"/>
      <c r="B64" s="3"/>
      <c r="C64" s="5"/>
      <c r="D64" s="5"/>
    </row>
    <row r="65" spans="1:4" x14ac:dyDescent="0.2">
      <c r="A65" s="3"/>
      <c r="B65" s="3"/>
      <c r="C65" s="5"/>
      <c r="D65" s="5"/>
    </row>
    <row r="66" spans="1:4" x14ac:dyDescent="0.2">
      <c r="A66" s="3"/>
      <c r="B66" s="3"/>
      <c r="C66" s="5"/>
      <c r="D66" s="5"/>
    </row>
    <row r="67" spans="1:4" x14ac:dyDescent="0.2">
      <c r="A67" s="3"/>
      <c r="B67" s="3"/>
      <c r="C67" s="5"/>
      <c r="D67" s="5"/>
    </row>
    <row r="68" spans="1:4" x14ac:dyDescent="0.2">
      <c r="A68" s="3"/>
      <c r="B68" s="3"/>
      <c r="C68" s="5"/>
      <c r="D68" s="5"/>
    </row>
    <row r="69" spans="1:4" x14ac:dyDescent="0.2">
      <c r="A69" s="3"/>
      <c r="B69" s="3"/>
      <c r="C69" s="5"/>
      <c r="D69" s="5"/>
    </row>
    <row r="70" spans="1:4" x14ac:dyDescent="0.2">
      <c r="A70" s="3"/>
      <c r="B70" s="3"/>
      <c r="C70" s="5"/>
      <c r="D70" s="5"/>
    </row>
    <row r="71" spans="1:4" x14ac:dyDescent="0.2">
      <c r="A71" s="3"/>
      <c r="B71" s="3"/>
      <c r="C71" s="5"/>
      <c r="D71" s="5"/>
    </row>
    <row r="72" spans="1:4" x14ac:dyDescent="0.2">
      <c r="A72" s="3"/>
      <c r="B72" s="3"/>
      <c r="C72" s="5"/>
      <c r="D72" s="5"/>
    </row>
    <row r="73" spans="1:4" x14ac:dyDescent="0.2">
      <c r="A73" s="3"/>
      <c r="B73" s="3"/>
      <c r="C73" s="5"/>
      <c r="D73" s="5"/>
    </row>
    <row r="74" spans="1:4" x14ac:dyDescent="0.2">
      <c r="A74" s="3"/>
      <c r="B74" s="3"/>
      <c r="C74" s="5"/>
      <c r="D74" s="5"/>
    </row>
    <row r="75" spans="1:4" x14ac:dyDescent="0.2">
      <c r="A75" s="3"/>
      <c r="B75" s="3"/>
      <c r="C75" s="5"/>
      <c r="D75" s="5"/>
    </row>
    <row r="76" spans="1:4" x14ac:dyDescent="0.2">
      <c r="A76" s="3"/>
      <c r="B76" s="3"/>
      <c r="C76" s="5"/>
      <c r="D76" s="5"/>
    </row>
    <row r="77" spans="1:4" x14ac:dyDescent="0.2">
      <c r="A77" s="3"/>
      <c r="B77" s="3"/>
      <c r="C77" s="5"/>
      <c r="D77" s="5"/>
    </row>
    <row r="78" spans="1:4" x14ac:dyDescent="0.2">
      <c r="A78" s="3"/>
      <c r="B78" s="3"/>
      <c r="C78" s="5"/>
      <c r="D78" s="5"/>
    </row>
    <row r="79" spans="1:4" x14ac:dyDescent="0.2">
      <c r="A79" s="3"/>
      <c r="B79" s="3"/>
      <c r="C79" s="5"/>
      <c r="D79" s="5"/>
    </row>
    <row r="80" spans="1:4" x14ac:dyDescent="0.2">
      <c r="A80" s="3"/>
      <c r="B80" s="3"/>
      <c r="C80" s="5"/>
      <c r="D80" s="5"/>
    </row>
    <row r="81" spans="1:4" x14ac:dyDescent="0.2">
      <c r="A81" s="3"/>
      <c r="B81" s="3"/>
      <c r="C81" s="5"/>
      <c r="D81" s="5"/>
    </row>
    <row r="82" spans="1:4" x14ac:dyDescent="0.2">
      <c r="A82" s="3"/>
      <c r="B82" s="3"/>
      <c r="C82" s="5"/>
      <c r="D82" s="5"/>
    </row>
    <row r="83" spans="1:4" x14ac:dyDescent="0.2">
      <c r="A83" s="3"/>
      <c r="B83" s="3"/>
      <c r="C83" s="5"/>
      <c r="D83" s="5"/>
    </row>
    <row r="84" spans="1:4" x14ac:dyDescent="0.2">
      <c r="A84" s="3"/>
      <c r="B84" s="3"/>
      <c r="C84" s="5"/>
      <c r="D84" s="5"/>
    </row>
    <row r="85" spans="1:4" x14ac:dyDescent="0.2">
      <c r="A85" s="3"/>
      <c r="B85" s="3"/>
      <c r="C85" s="5"/>
      <c r="D85" s="5"/>
    </row>
    <row r="86" spans="1:4" x14ac:dyDescent="0.2">
      <c r="A86" s="3"/>
      <c r="B86" s="3"/>
      <c r="C86" s="5"/>
      <c r="D86" s="5"/>
    </row>
    <row r="87" spans="1:4" x14ac:dyDescent="0.2">
      <c r="A87" s="3"/>
      <c r="B87" s="3"/>
      <c r="C87" s="5"/>
      <c r="D87" s="5"/>
    </row>
    <row r="88" spans="1:4" x14ac:dyDescent="0.2">
      <c r="A88" s="3"/>
      <c r="B88" s="3"/>
      <c r="C88" s="5"/>
      <c r="D88" s="5"/>
    </row>
    <row r="89" spans="1:4" x14ac:dyDescent="0.2">
      <c r="A89" s="3"/>
      <c r="B89" s="3"/>
      <c r="C89" s="5"/>
      <c r="D89" s="5"/>
    </row>
    <row r="90" spans="1:4" x14ac:dyDescent="0.2">
      <c r="A90" s="3"/>
      <c r="B90" s="3"/>
      <c r="C90" s="5"/>
      <c r="D90" s="5"/>
    </row>
    <row r="91" spans="1:4" x14ac:dyDescent="0.2">
      <c r="A91" s="3"/>
      <c r="B91" s="3"/>
      <c r="C91" s="5"/>
      <c r="D91" s="5"/>
    </row>
    <row r="92" spans="1:4" x14ac:dyDescent="0.2">
      <c r="A92" s="3"/>
      <c r="B92" s="3"/>
      <c r="C92" s="5"/>
      <c r="D92" s="5"/>
    </row>
    <row r="93" spans="1:4" x14ac:dyDescent="0.2">
      <c r="A93" s="3"/>
      <c r="B93" s="3"/>
      <c r="C93" s="5"/>
      <c r="D93" s="5"/>
    </row>
    <row r="94" spans="1:4" x14ac:dyDescent="0.2">
      <c r="A94" s="3"/>
      <c r="B94" s="3"/>
      <c r="C94" s="5"/>
      <c r="D94" s="5"/>
    </row>
    <row r="95" spans="1:4" x14ac:dyDescent="0.2">
      <c r="A95" s="3"/>
      <c r="B95" s="3"/>
      <c r="C95" s="5"/>
      <c r="D95" s="5"/>
    </row>
    <row r="96" spans="1:4" x14ac:dyDescent="0.2">
      <c r="A96" s="3"/>
      <c r="B96" s="3"/>
      <c r="C96" s="5"/>
      <c r="D96" s="5"/>
    </row>
    <row r="97" spans="1:4" x14ac:dyDescent="0.2">
      <c r="A97" s="3"/>
      <c r="B97" s="3"/>
      <c r="C97" s="5"/>
      <c r="D97" s="5"/>
    </row>
    <row r="98" spans="1:4" x14ac:dyDescent="0.2">
      <c r="A98" s="3"/>
      <c r="B98" s="3"/>
      <c r="C98" s="5"/>
      <c r="D98" s="5"/>
    </row>
    <row r="99" spans="1:4" x14ac:dyDescent="0.2">
      <c r="A99" s="3"/>
      <c r="B99" s="3"/>
      <c r="C99" s="5"/>
      <c r="D99" s="5"/>
    </row>
    <row r="100" spans="1:4" x14ac:dyDescent="0.2">
      <c r="A100" s="3"/>
      <c r="B100" s="3"/>
      <c r="C100" s="5"/>
      <c r="D100" s="5"/>
    </row>
    <row r="101" spans="1:4" x14ac:dyDescent="0.2">
      <c r="A101" s="3"/>
      <c r="B101" s="3"/>
      <c r="C101" s="5"/>
      <c r="D101" s="5"/>
    </row>
    <row r="102" spans="1:4" x14ac:dyDescent="0.2">
      <c r="A102" s="3"/>
      <c r="B102" s="3"/>
      <c r="C102" s="5"/>
      <c r="D102" s="5"/>
    </row>
    <row r="103" spans="1:4" x14ac:dyDescent="0.2">
      <c r="A103" s="3"/>
      <c r="B103" s="3"/>
      <c r="C103" s="5"/>
      <c r="D103" s="5"/>
    </row>
  </sheetData>
  <mergeCells count="23">
    <mergeCell ref="A29:B29"/>
    <mergeCell ref="A25:B25"/>
    <mergeCell ref="A5:B5"/>
    <mergeCell ref="A14:B14"/>
    <mergeCell ref="A18:B18"/>
    <mergeCell ref="A6:B6"/>
    <mergeCell ref="A9:B9"/>
    <mergeCell ref="A12:B12"/>
    <mergeCell ref="A13:B13"/>
    <mergeCell ref="A10:B10"/>
    <mergeCell ref="A11:B11"/>
    <mergeCell ref="A23:B23"/>
    <mergeCell ref="A24:B24"/>
    <mergeCell ref="A22:B22"/>
    <mergeCell ref="A19:B19"/>
    <mergeCell ref="A21:B21"/>
    <mergeCell ref="A37:B37"/>
    <mergeCell ref="A34:B34"/>
    <mergeCell ref="A35:B35"/>
    <mergeCell ref="A36:B36"/>
    <mergeCell ref="A30:B30"/>
    <mergeCell ref="A32:B32"/>
    <mergeCell ref="A33:B33"/>
  </mergeCells>
  <phoneticPr fontId="28" type="noConversion"/>
  <pageMargins left="0.75" right="0.75" top="1" bottom="1" header="0.5" footer="0.5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>
    <pageSetUpPr fitToPage="1"/>
  </sheetPr>
  <dimension ref="A1:C21"/>
  <sheetViews>
    <sheetView showGridLines="0" view="pageBreakPreview" zoomScaleNormal="100" zoomScaleSheetLayoutView="100" workbookViewId="0">
      <selection activeCell="C14" sqref="C14"/>
    </sheetView>
  </sheetViews>
  <sheetFormatPr defaultRowHeight="13.2" x14ac:dyDescent="0.25"/>
  <cols>
    <col min="1" max="1" width="53.77734375" customWidth="1"/>
    <col min="2" max="2" width="22.5546875" customWidth="1"/>
    <col min="3" max="3" width="18.21875" bestFit="1" customWidth="1"/>
    <col min="4" max="4" width="18.21875" customWidth="1"/>
    <col min="257" max="257" width="53.77734375" customWidth="1"/>
    <col min="258" max="258" width="22.5546875" customWidth="1"/>
    <col min="259" max="259" width="18.21875" bestFit="1" customWidth="1"/>
    <col min="260" max="260" width="18.21875" customWidth="1"/>
    <col min="513" max="513" width="53.77734375" customWidth="1"/>
    <col min="514" max="514" width="22.5546875" customWidth="1"/>
    <col min="515" max="515" width="18.21875" bestFit="1" customWidth="1"/>
    <col min="516" max="516" width="18.21875" customWidth="1"/>
    <col min="769" max="769" width="53.77734375" customWidth="1"/>
    <col min="770" max="770" width="22.5546875" customWidth="1"/>
    <col min="771" max="771" width="18.21875" bestFit="1" customWidth="1"/>
    <col min="772" max="772" width="18.21875" customWidth="1"/>
    <col min="1025" max="1025" width="53.77734375" customWidth="1"/>
    <col min="1026" max="1026" width="22.5546875" customWidth="1"/>
    <col min="1027" max="1027" width="18.21875" bestFit="1" customWidth="1"/>
    <col min="1028" max="1028" width="18.21875" customWidth="1"/>
    <col min="1281" max="1281" width="53.77734375" customWidth="1"/>
    <col min="1282" max="1282" width="22.5546875" customWidth="1"/>
    <col min="1283" max="1283" width="18.21875" bestFit="1" customWidth="1"/>
    <col min="1284" max="1284" width="18.21875" customWidth="1"/>
    <col min="1537" max="1537" width="53.77734375" customWidth="1"/>
    <col min="1538" max="1538" width="22.5546875" customWidth="1"/>
    <col min="1539" max="1539" width="18.21875" bestFit="1" customWidth="1"/>
    <col min="1540" max="1540" width="18.21875" customWidth="1"/>
    <col min="1793" max="1793" width="53.77734375" customWidth="1"/>
    <col min="1794" max="1794" width="22.5546875" customWidth="1"/>
    <col min="1795" max="1795" width="18.21875" bestFit="1" customWidth="1"/>
    <col min="1796" max="1796" width="18.21875" customWidth="1"/>
    <col min="2049" max="2049" width="53.77734375" customWidth="1"/>
    <col min="2050" max="2050" width="22.5546875" customWidth="1"/>
    <col min="2051" max="2051" width="18.21875" bestFit="1" customWidth="1"/>
    <col min="2052" max="2052" width="18.21875" customWidth="1"/>
    <col min="2305" max="2305" width="53.77734375" customWidth="1"/>
    <col min="2306" max="2306" width="22.5546875" customWidth="1"/>
    <col min="2307" max="2307" width="18.21875" bestFit="1" customWidth="1"/>
    <col min="2308" max="2308" width="18.21875" customWidth="1"/>
    <col min="2561" max="2561" width="53.77734375" customWidth="1"/>
    <col min="2562" max="2562" width="22.5546875" customWidth="1"/>
    <col min="2563" max="2563" width="18.21875" bestFit="1" customWidth="1"/>
    <col min="2564" max="2564" width="18.21875" customWidth="1"/>
    <col min="2817" max="2817" width="53.77734375" customWidth="1"/>
    <col min="2818" max="2818" width="22.5546875" customWidth="1"/>
    <col min="2819" max="2819" width="18.21875" bestFit="1" customWidth="1"/>
    <col min="2820" max="2820" width="18.21875" customWidth="1"/>
    <col min="3073" max="3073" width="53.77734375" customWidth="1"/>
    <col min="3074" max="3074" width="22.5546875" customWidth="1"/>
    <col min="3075" max="3075" width="18.21875" bestFit="1" customWidth="1"/>
    <col min="3076" max="3076" width="18.21875" customWidth="1"/>
    <col min="3329" max="3329" width="53.77734375" customWidth="1"/>
    <col min="3330" max="3330" width="22.5546875" customWidth="1"/>
    <col min="3331" max="3331" width="18.21875" bestFit="1" customWidth="1"/>
    <col min="3332" max="3332" width="18.21875" customWidth="1"/>
    <col min="3585" max="3585" width="53.77734375" customWidth="1"/>
    <col min="3586" max="3586" width="22.5546875" customWidth="1"/>
    <col min="3587" max="3587" width="18.21875" bestFit="1" customWidth="1"/>
    <col min="3588" max="3588" width="18.21875" customWidth="1"/>
    <col min="3841" max="3841" width="53.77734375" customWidth="1"/>
    <col min="3842" max="3842" width="22.5546875" customWidth="1"/>
    <col min="3843" max="3843" width="18.21875" bestFit="1" customWidth="1"/>
    <col min="3844" max="3844" width="18.21875" customWidth="1"/>
    <col min="4097" max="4097" width="53.77734375" customWidth="1"/>
    <col min="4098" max="4098" width="22.5546875" customWidth="1"/>
    <col min="4099" max="4099" width="18.21875" bestFit="1" customWidth="1"/>
    <col min="4100" max="4100" width="18.21875" customWidth="1"/>
    <col min="4353" max="4353" width="53.77734375" customWidth="1"/>
    <col min="4354" max="4354" width="22.5546875" customWidth="1"/>
    <col min="4355" max="4355" width="18.21875" bestFit="1" customWidth="1"/>
    <col min="4356" max="4356" width="18.21875" customWidth="1"/>
    <col min="4609" max="4609" width="53.77734375" customWidth="1"/>
    <col min="4610" max="4610" width="22.5546875" customWidth="1"/>
    <col min="4611" max="4611" width="18.21875" bestFit="1" customWidth="1"/>
    <col min="4612" max="4612" width="18.21875" customWidth="1"/>
    <col min="4865" max="4865" width="53.77734375" customWidth="1"/>
    <col min="4866" max="4866" width="22.5546875" customWidth="1"/>
    <col min="4867" max="4867" width="18.21875" bestFit="1" customWidth="1"/>
    <col min="4868" max="4868" width="18.21875" customWidth="1"/>
    <col min="5121" max="5121" width="53.77734375" customWidth="1"/>
    <col min="5122" max="5122" width="22.5546875" customWidth="1"/>
    <col min="5123" max="5123" width="18.21875" bestFit="1" customWidth="1"/>
    <col min="5124" max="5124" width="18.21875" customWidth="1"/>
    <col min="5377" max="5377" width="53.77734375" customWidth="1"/>
    <col min="5378" max="5378" width="22.5546875" customWidth="1"/>
    <col min="5379" max="5379" width="18.21875" bestFit="1" customWidth="1"/>
    <col min="5380" max="5380" width="18.21875" customWidth="1"/>
    <col min="5633" max="5633" width="53.77734375" customWidth="1"/>
    <col min="5634" max="5634" width="22.5546875" customWidth="1"/>
    <col min="5635" max="5635" width="18.21875" bestFit="1" customWidth="1"/>
    <col min="5636" max="5636" width="18.21875" customWidth="1"/>
    <col min="5889" max="5889" width="53.77734375" customWidth="1"/>
    <col min="5890" max="5890" width="22.5546875" customWidth="1"/>
    <col min="5891" max="5891" width="18.21875" bestFit="1" customWidth="1"/>
    <col min="5892" max="5892" width="18.21875" customWidth="1"/>
    <col min="6145" max="6145" width="53.77734375" customWidth="1"/>
    <col min="6146" max="6146" width="22.5546875" customWidth="1"/>
    <col min="6147" max="6147" width="18.21875" bestFit="1" customWidth="1"/>
    <col min="6148" max="6148" width="18.21875" customWidth="1"/>
    <col min="6401" max="6401" width="53.77734375" customWidth="1"/>
    <col min="6402" max="6402" width="22.5546875" customWidth="1"/>
    <col min="6403" max="6403" width="18.21875" bestFit="1" customWidth="1"/>
    <col min="6404" max="6404" width="18.21875" customWidth="1"/>
    <col min="6657" max="6657" width="53.77734375" customWidth="1"/>
    <col min="6658" max="6658" width="22.5546875" customWidth="1"/>
    <col min="6659" max="6659" width="18.21875" bestFit="1" customWidth="1"/>
    <col min="6660" max="6660" width="18.21875" customWidth="1"/>
    <col min="6913" max="6913" width="53.77734375" customWidth="1"/>
    <col min="6914" max="6914" width="22.5546875" customWidth="1"/>
    <col min="6915" max="6915" width="18.21875" bestFit="1" customWidth="1"/>
    <col min="6916" max="6916" width="18.21875" customWidth="1"/>
    <col min="7169" max="7169" width="53.77734375" customWidth="1"/>
    <col min="7170" max="7170" width="22.5546875" customWidth="1"/>
    <col min="7171" max="7171" width="18.21875" bestFit="1" customWidth="1"/>
    <col min="7172" max="7172" width="18.21875" customWidth="1"/>
    <col min="7425" max="7425" width="53.77734375" customWidth="1"/>
    <col min="7426" max="7426" width="22.5546875" customWidth="1"/>
    <col min="7427" max="7427" width="18.21875" bestFit="1" customWidth="1"/>
    <col min="7428" max="7428" width="18.21875" customWidth="1"/>
    <col min="7681" max="7681" width="53.77734375" customWidth="1"/>
    <col min="7682" max="7682" width="22.5546875" customWidth="1"/>
    <col min="7683" max="7683" width="18.21875" bestFit="1" customWidth="1"/>
    <col min="7684" max="7684" width="18.21875" customWidth="1"/>
    <col min="7937" max="7937" width="53.77734375" customWidth="1"/>
    <col min="7938" max="7938" width="22.5546875" customWidth="1"/>
    <col min="7939" max="7939" width="18.21875" bestFit="1" customWidth="1"/>
    <col min="7940" max="7940" width="18.21875" customWidth="1"/>
    <col min="8193" max="8193" width="53.77734375" customWidth="1"/>
    <col min="8194" max="8194" width="22.5546875" customWidth="1"/>
    <col min="8195" max="8195" width="18.21875" bestFit="1" customWidth="1"/>
    <col min="8196" max="8196" width="18.21875" customWidth="1"/>
    <col min="8449" max="8449" width="53.77734375" customWidth="1"/>
    <col min="8450" max="8450" width="22.5546875" customWidth="1"/>
    <col min="8451" max="8451" width="18.21875" bestFit="1" customWidth="1"/>
    <col min="8452" max="8452" width="18.21875" customWidth="1"/>
    <col min="8705" max="8705" width="53.77734375" customWidth="1"/>
    <col min="8706" max="8706" width="22.5546875" customWidth="1"/>
    <col min="8707" max="8707" width="18.21875" bestFit="1" customWidth="1"/>
    <col min="8708" max="8708" width="18.21875" customWidth="1"/>
    <col min="8961" max="8961" width="53.77734375" customWidth="1"/>
    <col min="8962" max="8962" width="22.5546875" customWidth="1"/>
    <col min="8963" max="8963" width="18.21875" bestFit="1" customWidth="1"/>
    <col min="8964" max="8964" width="18.21875" customWidth="1"/>
    <col min="9217" max="9217" width="53.77734375" customWidth="1"/>
    <col min="9218" max="9218" width="22.5546875" customWidth="1"/>
    <col min="9219" max="9219" width="18.21875" bestFit="1" customWidth="1"/>
    <col min="9220" max="9220" width="18.21875" customWidth="1"/>
    <col min="9473" max="9473" width="53.77734375" customWidth="1"/>
    <col min="9474" max="9474" width="22.5546875" customWidth="1"/>
    <col min="9475" max="9475" width="18.21875" bestFit="1" customWidth="1"/>
    <col min="9476" max="9476" width="18.21875" customWidth="1"/>
    <col min="9729" max="9729" width="53.77734375" customWidth="1"/>
    <col min="9730" max="9730" width="22.5546875" customWidth="1"/>
    <col min="9731" max="9731" width="18.21875" bestFit="1" customWidth="1"/>
    <col min="9732" max="9732" width="18.21875" customWidth="1"/>
    <col min="9985" max="9985" width="53.77734375" customWidth="1"/>
    <col min="9986" max="9986" width="22.5546875" customWidth="1"/>
    <col min="9987" max="9987" width="18.21875" bestFit="1" customWidth="1"/>
    <col min="9988" max="9988" width="18.21875" customWidth="1"/>
    <col min="10241" max="10241" width="53.77734375" customWidth="1"/>
    <col min="10242" max="10242" width="22.5546875" customWidth="1"/>
    <col min="10243" max="10243" width="18.21875" bestFit="1" customWidth="1"/>
    <col min="10244" max="10244" width="18.21875" customWidth="1"/>
    <col min="10497" max="10497" width="53.77734375" customWidth="1"/>
    <col min="10498" max="10498" width="22.5546875" customWidth="1"/>
    <col min="10499" max="10499" width="18.21875" bestFit="1" customWidth="1"/>
    <col min="10500" max="10500" width="18.21875" customWidth="1"/>
    <col min="10753" max="10753" width="53.77734375" customWidth="1"/>
    <col min="10754" max="10754" width="22.5546875" customWidth="1"/>
    <col min="10755" max="10755" width="18.21875" bestFit="1" customWidth="1"/>
    <col min="10756" max="10756" width="18.21875" customWidth="1"/>
    <col min="11009" max="11009" width="53.77734375" customWidth="1"/>
    <col min="11010" max="11010" width="22.5546875" customWidth="1"/>
    <col min="11011" max="11011" width="18.21875" bestFit="1" customWidth="1"/>
    <col min="11012" max="11012" width="18.21875" customWidth="1"/>
    <col min="11265" max="11265" width="53.77734375" customWidth="1"/>
    <col min="11266" max="11266" width="22.5546875" customWidth="1"/>
    <col min="11267" max="11267" width="18.21875" bestFit="1" customWidth="1"/>
    <col min="11268" max="11268" width="18.21875" customWidth="1"/>
    <col min="11521" max="11521" width="53.77734375" customWidth="1"/>
    <col min="11522" max="11522" width="22.5546875" customWidth="1"/>
    <col min="11523" max="11523" width="18.21875" bestFit="1" customWidth="1"/>
    <col min="11524" max="11524" width="18.21875" customWidth="1"/>
    <col min="11777" max="11777" width="53.77734375" customWidth="1"/>
    <col min="11778" max="11778" width="22.5546875" customWidth="1"/>
    <col min="11779" max="11779" width="18.21875" bestFit="1" customWidth="1"/>
    <col min="11780" max="11780" width="18.21875" customWidth="1"/>
    <col min="12033" max="12033" width="53.77734375" customWidth="1"/>
    <col min="12034" max="12034" width="22.5546875" customWidth="1"/>
    <col min="12035" max="12035" width="18.21875" bestFit="1" customWidth="1"/>
    <col min="12036" max="12036" width="18.21875" customWidth="1"/>
    <col min="12289" max="12289" width="53.77734375" customWidth="1"/>
    <col min="12290" max="12290" width="22.5546875" customWidth="1"/>
    <col min="12291" max="12291" width="18.21875" bestFit="1" customWidth="1"/>
    <col min="12292" max="12292" width="18.21875" customWidth="1"/>
    <col min="12545" max="12545" width="53.77734375" customWidth="1"/>
    <col min="12546" max="12546" width="22.5546875" customWidth="1"/>
    <col min="12547" max="12547" width="18.21875" bestFit="1" customWidth="1"/>
    <col min="12548" max="12548" width="18.21875" customWidth="1"/>
    <col min="12801" max="12801" width="53.77734375" customWidth="1"/>
    <col min="12802" max="12802" width="22.5546875" customWidth="1"/>
    <col min="12803" max="12803" width="18.21875" bestFit="1" customWidth="1"/>
    <col min="12804" max="12804" width="18.21875" customWidth="1"/>
    <col min="13057" max="13057" width="53.77734375" customWidth="1"/>
    <col min="13058" max="13058" width="22.5546875" customWidth="1"/>
    <col min="13059" max="13059" width="18.21875" bestFit="1" customWidth="1"/>
    <col min="13060" max="13060" width="18.21875" customWidth="1"/>
    <col min="13313" max="13313" width="53.77734375" customWidth="1"/>
    <col min="13314" max="13314" width="22.5546875" customWidth="1"/>
    <col min="13315" max="13315" width="18.21875" bestFit="1" customWidth="1"/>
    <col min="13316" max="13316" width="18.21875" customWidth="1"/>
    <col min="13569" max="13569" width="53.77734375" customWidth="1"/>
    <col min="13570" max="13570" width="22.5546875" customWidth="1"/>
    <col min="13571" max="13571" width="18.21875" bestFit="1" customWidth="1"/>
    <col min="13572" max="13572" width="18.21875" customWidth="1"/>
    <col min="13825" max="13825" width="53.77734375" customWidth="1"/>
    <col min="13826" max="13826" width="22.5546875" customWidth="1"/>
    <col min="13827" max="13827" width="18.21875" bestFit="1" customWidth="1"/>
    <col min="13828" max="13828" width="18.21875" customWidth="1"/>
    <col min="14081" max="14081" width="53.77734375" customWidth="1"/>
    <col min="14082" max="14082" width="22.5546875" customWidth="1"/>
    <col min="14083" max="14083" width="18.21875" bestFit="1" customWidth="1"/>
    <col min="14084" max="14084" width="18.21875" customWidth="1"/>
    <col min="14337" max="14337" width="53.77734375" customWidth="1"/>
    <col min="14338" max="14338" width="22.5546875" customWidth="1"/>
    <col min="14339" max="14339" width="18.21875" bestFit="1" customWidth="1"/>
    <col min="14340" max="14340" width="18.21875" customWidth="1"/>
    <col min="14593" max="14593" width="53.77734375" customWidth="1"/>
    <col min="14594" max="14594" width="22.5546875" customWidth="1"/>
    <col min="14595" max="14595" width="18.21875" bestFit="1" customWidth="1"/>
    <col min="14596" max="14596" width="18.21875" customWidth="1"/>
    <col min="14849" max="14849" width="53.77734375" customWidth="1"/>
    <col min="14850" max="14850" width="22.5546875" customWidth="1"/>
    <col min="14851" max="14851" width="18.21875" bestFit="1" customWidth="1"/>
    <col min="14852" max="14852" width="18.21875" customWidth="1"/>
    <col min="15105" max="15105" width="53.77734375" customWidth="1"/>
    <col min="15106" max="15106" width="22.5546875" customWidth="1"/>
    <col min="15107" max="15107" width="18.21875" bestFit="1" customWidth="1"/>
    <col min="15108" max="15108" width="18.21875" customWidth="1"/>
    <col min="15361" max="15361" width="53.77734375" customWidth="1"/>
    <col min="15362" max="15362" width="22.5546875" customWidth="1"/>
    <col min="15363" max="15363" width="18.21875" bestFit="1" customWidth="1"/>
    <col min="15364" max="15364" width="18.21875" customWidth="1"/>
    <col min="15617" max="15617" width="53.77734375" customWidth="1"/>
    <col min="15618" max="15618" width="22.5546875" customWidth="1"/>
    <col min="15619" max="15619" width="18.21875" bestFit="1" customWidth="1"/>
    <col min="15620" max="15620" width="18.21875" customWidth="1"/>
    <col min="15873" max="15873" width="53.77734375" customWidth="1"/>
    <col min="15874" max="15874" width="22.5546875" customWidth="1"/>
    <col min="15875" max="15875" width="18.21875" bestFit="1" customWidth="1"/>
    <col min="15876" max="15876" width="18.21875" customWidth="1"/>
    <col min="16129" max="16129" width="53.77734375" customWidth="1"/>
    <col min="16130" max="16130" width="22.5546875" customWidth="1"/>
    <col min="16131" max="16131" width="18.21875" bestFit="1" customWidth="1"/>
    <col min="16132" max="16132" width="18.21875" customWidth="1"/>
  </cols>
  <sheetData>
    <row r="1" spans="1:3" x14ac:dyDescent="0.25">
      <c r="A1" s="38"/>
    </row>
    <row r="2" spans="1:3" x14ac:dyDescent="0.25">
      <c r="A2" s="412" t="s">
        <v>988</v>
      </c>
      <c r="B2" s="412"/>
      <c r="C2" s="44"/>
    </row>
    <row r="3" spans="1:3" x14ac:dyDescent="0.25">
      <c r="A3" s="3"/>
      <c r="B3" s="44"/>
      <c r="C3" s="44"/>
    </row>
    <row r="4" spans="1:3" x14ac:dyDescent="0.25">
      <c r="A4" s="52" t="s">
        <v>3</v>
      </c>
      <c r="B4" s="44"/>
      <c r="C4" s="44"/>
    </row>
    <row r="5" spans="1:3" x14ac:dyDescent="0.25">
      <c r="A5" s="44"/>
      <c r="B5" s="662"/>
      <c r="C5" s="662"/>
    </row>
    <row r="6" spans="1:3" x14ac:dyDescent="0.25">
      <c r="A6" s="103" t="s">
        <v>353</v>
      </c>
      <c r="B6" s="73" t="str">
        <f>'Dane podstawowe'!B7</f>
        <v>01.01.2018-31.12.2018</v>
      </c>
      <c r="C6" s="73" t="str">
        <f>'Dane podstawowe'!B12</f>
        <v>01.01.2017-31.12.2017</v>
      </c>
    </row>
    <row r="7" spans="1:3" x14ac:dyDescent="0.25">
      <c r="A7" s="534" t="s">
        <v>71</v>
      </c>
      <c r="B7" s="535">
        <v>26</v>
      </c>
      <c r="C7" s="535">
        <v>28</v>
      </c>
    </row>
    <row r="8" spans="1:3" x14ac:dyDescent="0.25">
      <c r="A8" s="534" t="s">
        <v>679</v>
      </c>
      <c r="B8" s="535">
        <v>43</v>
      </c>
      <c r="C8" s="535">
        <v>24</v>
      </c>
    </row>
    <row r="9" spans="1:3" x14ac:dyDescent="0.25">
      <c r="A9" s="534" t="s">
        <v>72</v>
      </c>
      <c r="B9" s="535">
        <v>61</v>
      </c>
      <c r="C9" s="535">
        <v>24</v>
      </c>
    </row>
    <row r="10" spans="1:3" x14ac:dyDescent="0.25">
      <c r="A10" s="534" t="s">
        <v>680</v>
      </c>
      <c r="B10" s="535">
        <v>60</v>
      </c>
      <c r="C10" s="535">
        <v>53</v>
      </c>
    </row>
    <row r="11" spans="1:3" x14ac:dyDescent="0.25">
      <c r="A11" s="534" t="s">
        <v>681</v>
      </c>
      <c r="B11" s="535">
        <v>5</v>
      </c>
      <c r="C11" s="535">
        <v>0</v>
      </c>
    </row>
    <row r="12" spans="1:3" x14ac:dyDescent="0.25">
      <c r="A12" s="56" t="s">
        <v>28</v>
      </c>
      <c r="B12" s="92">
        <f>SUM(B7:B11)</f>
        <v>195</v>
      </c>
      <c r="C12" s="92">
        <f>SUM(C7:C11)</f>
        <v>129</v>
      </c>
    </row>
    <row r="13" spans="1:3" x14ac:dyDescent="0.25">
      <c r="A13" s="44"/>
      <c r="B13" s="44"/>
      <c r="C13" s="44"/>
    </row>
    <row r="14" spans="1:3" x14ac:dyDescent="0.25">
      <c r="A14" s="44"/>
      <c r="B14" s="44"/>
      <c r="C14" s="44"/>
    </row>
    <row r="15" spans="1:3" x14ac:dyDescent="0.25">
      <c r="A15" s="52" t="s">
        <v>27</v>
      </c>
      <c r="B15" s="44"/>
      <c r="C15" s="44"/>
    </row>
    <row r="16" spans="1:3" x14ac:dyDescent="0.25">
      <c r="A16" s="44"/>
      <c r="B16" s="44"/>
      <c r="C16" s="44"/>
    </row>
    <row r="17" spans="1:3" x14ac:dyDescent="0.25">
      <c r="A17" s="103" t="s">
        <v>353</v>
      </c>
      <c r="B17" s="73" t="str">
        <f>B6</f>
        <v>01.01.2018-31.12.2018</v>
      </c>
      <c r="C17" s="73" t="str">
        <f>C6</f>
        <v>01.01.2017-31.12.2017</v>
      </c>
    </row>
    <row r="18" spans="1:3" x14ac:dyDescent="0.25">
      <c r="A18" s="91" t="s">
        <v>1</v>
      </c>
      <c r="B18" s="112">
        <v>91</v>
      </c>
      <c r="C18" s="112">
        <v>83</v>
      </c>
    </row>
    <row r="19" spans="1:3" x14ac:dyDescent="0.25">
      <c r="A19" s="91" t="s">
        <v>2</v>
      </c>
      <c r="B19" s="112">
        <v>86</v>
      </c>
      <c r="C19" s="112">
        <v>51</v>
      </c>
    </row>
    <row r="20" spans="1:3" x14ac:dyDescent="0.25">
      <c r="A20" s="57" t="s">
        <v>28</v>
      </c>
      <c r="B20" s="131">
        <f>B18-B19</f>
        <v>5</v>
      </c>
      <c r="C20" s="131">
        <f>C18-C19</f>
        <v>32</v>
      </c>
    </row>
    <row r="21" spans="1:3" x14ac:dyDescent="0.25">
      <c r="A21" s="44"/>
      <c r="B21" s="44"/>
      <c r="C21" s="44"/>
    </row>
  </sheetData>
  <mergeCells count="1">
    <mergeCell ref="B5:C5"/>
  </mergeCells>
  <phoneticPr fontId="28" type="noConversion"/>
  <pageMargins left="0.75" right="0.75" top="1" bottom="1" header="0.5" footer="0.5"/>
  <pageSetup paperSize="9" scale="67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9"/>
  <sheetViews>
    <sheetView showGridLines="0" view="pageBreakPreview" zoomScaleNormal="100" workbookViewId="0">
      <selection activeCell="D22" sqref="D22"/>
    </sheetView>
  </sheetViews>
  <sheetFormatPr defaultRowHeight="13.2" x14ac:dyDescent="0.25"/>
  <cols>
    <col min="2" max="2" width="46.5546875" customWidth="1"/>
    <col min="3" max="4" width="13.77734375" customWidth="1"/>
    <col min="5" max="5" width="14.77734375" customWidth="1"/>
  </cols>
  <sheetData>
    <row r="2" spans="2:4" x14ac:dyDescent="0.25">
      <c r="B2" s="412" t="s">
        <v>989</v>
      </c>
      <c r="C2" s="412"/>
      <c r="D2" s="412"/>
    </row>
    <row r="3" spans="2:4" x14ac:dyDescent="0.25">
      <c r="B3" s="367"/>
    </row>
    <row r="4" spans="2:4" ht="20.399999999999999" x14ac:dyDescent="0.25">
      <c r="B4" s="369" t="s">
        <v>339</v>
      </c>
      <c r="C4" s="73" t="str">
        <f>'Dane podstawowe'!B7</f>
        <v>01.01.2018-31.12.2018</v>
      </c>
      <c r="D4" s="73" t="str">
        <f>'Dane podstawowe'!B12</f>
        <v>01.01.2017-31.12.2017</v>
      </c>
    </row>
    <row r="5" spans="2:4" ht="20.399999999999999" x14ac:dyDescent="0.25">
      <c r="B5" s="36" t="s">
        <v>340</v>
      </c>
      <c r="C5" s="209">
        <v>34000</v>
      </c>
      <c r="D5" s="209">
        <v>29000</v>
      </c>
    </row>
    <row r="6" spans="2:4" ht="30.6" x14ac:dyDescent="0.25">
      <c r="B6" s="482" t="s">
        <v>726</v>
      </c>
      <c r="C6" s="209">
        <f>16000</f>
        <v>16000</v>
      </c>
      <c r="D6" s="209">
        <v>16000</v>
      </c>
    </row>
    <row r="7" spans="2:4" x14ac:dyDescent="0.25">
      <c r="B7" s="482" t="s">
        <v>727</v>
      </c>
      <c r="C7" s="209">
        <v>0</v>
      </c>
      <c r="D7" s="209">
        <v>0</v>
      </c>
    </row>
    <row r="8" spans="2:4" x14ac:dyDescent="0.25">
      <c r="B8" s="482" t="s">
        <v>728</v>
      </c>
      <c r="C8" s="209">
        <v>0</v>
      </c>
      <c r="D8" s="209">
        <v>0</v>
      </c>
    </row>
    <row r="9" spans="2:4" x14ac:dyDescent="0.25">
      <c r="B9" s="61" t="s">
        <v>554</v>
      </c>
      <c r="C9" s="92">
        <f>SUM(C5:C8)</f>
        <v>50000</v>
      </c>
      <c r="D9" s="92">
        <f>SUM(D5:D8)</f>
        <v>45000</v>
      </c>
    </row>
  </sheetData>
  <phoneticPr fontId="33" type="noConversion"/>
  <pageMargins left="0.75" right="0.75" top="1" bottom="1" header="0.5" footer="0.5"/>
  <pageSetup paperSize="9" scale="8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/>
  <dimension ref="A1:I74"/>
  <sheetViews>
    <sheetView showGridLines="0" view="pageBreakPreview" topLeftCell="A2" zoomScaleNormal="100" zoomScaleSheetLayoutView="100" workbookViewId="0">
      <selection activeCell="E19" sqref="E19"/>
    </sheetView>
  </sheetViews>
  <sheetFormatPr defaultColWidth="9.21875" defaultRowHeight="13.2" x14ac:dyDescent="0.25"/>
  <cols>
    <col min="1" max="1" width="56.21875" style="44" customWidth="1"/>
    <col min="2" max="3" width="13.77734375" style="44" customWidth="1"/>
    <col min="4" max="6" width="9.21875" style="44"/>
  </cols>
  <sheetData>
    <row r="1" spans="1:9" x14ac:dyDescent="0.25">
      <c r="A1" s="38"/>
      <c r="B1"/>
      <c r="C1"/>
      <c r="D1"/>
      <c r="E1"/>
      <c r="F1"/>
    </row>
    <row r="2" spans="1:9" s="1" customFormat="1" x14ac:dyDescent="0.25">
      <c r="A2" s="412" t="s">
        <v>990</v>
      </c>
      <c r="B2" s="412"/>
      <c r="C2" s="412"/>
    </row>
    <row r="3" spans="1:9" s="1" customFormat="1" ht="10.199999999999999" x14ac:dyDescent="0.2"/>
    <row r="4" spans="1:9" s="1" customFormat="1" ht="10.199999999999999" x14ac:dyDescent="0.2">
      <c r="A4" s="103" t="s">
        <v>353</v>
      </c>
      <c r="B4" s="461">
        <f>'Dane podstawowe'!$B$9</f>
        <v>43465</v>
      </c>
      <c r="C4" s="461">
        <v>43100</v>
      </c>
      <c r="G4" s="95"/>
      <c r="H4" s="95"/>
      <c r="I4" s="95"/>
    </row>
    <row r="5" spans="1:9" s="4" customFormat="1" ht="10.199999999999999" x14ac:dyDescent="0.25">
      <c r="A5" s="59" t="s">
        <v>420</v>
      </c>
      <c r="B5" s="127">
        <v>2267111</v>
      </c>
      <c r="C5" s="127">
        <v>4803839</v>
      </c>
      <c r="D5" s="34"/>
      <c r="E5" s="34"/>
      <c r="F5" s="34"/>
      <c r="G5" s="154"/>
      <c r="H5" s="154"/>
      <c r="I5" s="154"/>
    </row>
    <row r="6" spans="1:9" s="4" customFormat="1" ht="10.199999999999999" x14ac:dyDescent="0.25">
      <c r="A6" s="65" t="s">
        <v>450</v>
      </c>
      <c r="B6" s="228">
        <v>247</v>
      </c>
      <c r="C6" s="228">
        <v>853</v>
      </c>
      <c r="D6" s="34"/>
      <c r="E6" s="34"/>
      <c r="F6" s="34"/>
      <c r="G6" s="154"/>
      <c r="H6" s="154"/>
      <c r="I6" s="154"/>
    </row>
    <row r="7" spans="1:9" s="4" customFormat="1" ht="20.399999999999999" x14ac:dyDescent="0.25">
      <c r="A7" s="65" t="s">
        <v>451</v>
      </c>
      <c r="B7" s="85"/>
      <c r="C7" s="85"/>
      <c r="D7" s="34"/>
      <c r="E7" s="34"/>
      <c r="F7" s="34"/>
      <c r="G7" s="154"/>
      <c r="H7" s="154"/>
      <c r="I7" s="154"/>
    </row>
    <row r="8" spans="1:9" s="4" customFormat="1" ht="20.399999999999999" x14ac:dyDescent="0.25">
      <c r="A8" s="59" t="s">
        <v>421</v>
      </c>
      <c r="B8" s="127">
        <f>B5+B6+B7</f>
        <v>2267358</v>
      </c>
      <c r="C8" s="127">
        <f>C5+C6+C7</f>
        <v>4804692</v>
      </c>
      <c r="D8" s="34"/>
      <c r="E8" s="34"/>
      <c r="F8" s="34"/>
      <c r="G8" s="154"/>
      <c r="H8" s="154"/>
      <c r="I8" s="154"/>
    </row>
    <row r="9" spans="1:9" s="1" customFormat="1" ht="30" customHeight="1" x14ac:dyDescent="0.2">
      <c r="A9" s="44"/>
      <c r="B9" s="167"/>
      <c r="C9" s="167"/>
      <c r="D9" s="143"/>
      <c r="E9" s="143"/>
      <c r="F9" s="143"/>
      <c r="G9" s="95"/>
      <c r="H9" s="95"/>
      <c r="I9" s="95"/>
    </row>
    <row r="10" spans="1:9" s="1" customFormat="1" ht="10.199999999999999" x14ac:dyDescent="0.2">
      <c r="A10" s="103" t="s">
        <v>353</v>
      </c>
      <c r="B10" s="461">
        <f>'Dane podstawowe'!$B$9</f>
        <v>43465</v>
      </c>
      <c r="C10" s="461">
        <f>C4</f>
        <v>43100</v>
      </c>
      <c r="D10" s="44"/>
      <c r="E10" s="44"/>
      <c r="F10" s="44"/>
    </row>
    <row r="11" spans="1:9" s="1" customFormat="1" ht="10.199999999999999" x14ac:dyDescent="0.2">
      <c r="A11" s="56" t="s">
        <v>471</v>
      </c>
      <c r="B11" s="127">
        <f>B12+B13+B14</f>
        <v>2486849</v>
      </c>
      <c r="C11" s="127">
        <f>C12+C13+C14</f>
        <v>1380582</v>
      </c>
      <c r="D11" s="44"/>
      <c r="E11" s="44"/>
      <c r="F11" s="44"/>
    </row>
    <row r="12" spans="1:9" s="1" customFormat="1" ht="10.199999999999999" x14ac:dyDescent="0.2">
      <c r="A12" s="55" t="s">
        <v>52</v>
      </c>
      <c r="B12" s="228">
        <v>2130860</v>
      </c>
      <c r="C12" s="228">
        <v>1114867</v>
      </c>
      <c r="D12" s="44"/>
      <c r="E12" s="44"/>
      <c r="F12" s="44"/>
    </row>
    <row r="13" spans="1:9" s="1" customFormat="1" ht="10.199999999999999" x14ac:dyDescent="0.2">
      <c r="A13" s="55" t="s">
        <v>53</v>
      </c>
      <c r="B13" s="228">
        <v>355989</v>
      </c>
      <c r="C13" s="228">
        <v>265715</v>
      </c>
      <c r="D13" s="44"/>
      <c r="E13" s="44"/>
      <c r="F13" s="44"/>
    </row>
    <row r="14" spans="1:9" s="1" customFormat="1" ht="10.199999999999999" x14ac:dyDescent="0.2">
      <c r="A14" s="55" t="s">
        <v>54</v>
      </c>
      <c r="B14" s="228">
        <v>0</v>
      </c>
      <c r="C14" s="228">
        <v>0</v>
      </c>
      <c r="D14" s="44"/>
      <c r="E14" s="44"/>
      <c r="F14" s="44"/>
    </row>
    <row r="15" spans="1:9" s="1" customFormat="1" ht="10.199999999999999" x14ac:dyDescent="0.2">
      <c r="A15" s="55"/>
      <c r="B15" s="127"/>
      <c r="C15" s="127"/>
      <c r="D15" s="44"/>
      <c r="E15" s="44"/>
      <c r="F15" s="44"/>
    </row>
    <row r="16" spans="1:9" s="1" customFormat="1" ht="10.199999999999999" x14ac:dyDescent="0.2">
      <c r="A16" s="56" t="s">
        <v>422</v>
      </c>
      <c r="B16" s="127">
        <f>SUM(B18:B25)</f>
        <v>-17163</v>
      </c>
      <c r="C16" s="127">
        <f>SUM(C17:C25)</f>
        <v>-14231</v>
      </c>
      <c r="D16" s="44"/>
      <c r="E16" s="44"/>
      <c r="F16" s="44"/>
    </row>
    <row r="17" spans="1:6" s="1" customFormat="1" ht="10.199999999999999" x14ac:dyDescent="0.2">
      <c r="A17" s="55" t="s">
        <v>423</v>
      </c>
      <c r="B17" s="44">
        <v>0</v>
      </c>
      <c r="C17" s="228">
        <v>0</v>
      </c>
      <c r="D17" s="44"/>
      <c r="E17" s="44"/>
      <c r="F17" s="44"/>
    </row>
    <row r="18" spans="1:6" s="1" customFormat="1" ht="10.199999999999999" x14ac:dyDescent="0.2">
      <c r="A18" s="55" t="s">
        <v>424</v>
      </c>
      <c r="B18" s="228">
        <v>0</v>
      </c>
      <c r="C18" s="228">
        <v>0</v>
      </c>
      <c r="D18" s="44"/>
      <c r="E18" s="44"/>
      <c r="F18" s="44"/>
    </row>
    <row r="19" spans="1:6" s="1" customFormat="1" ht="10.199999999999999" x14ac:dyDescent="0.2">
      <c r="A19" s="55" t="s">
        <v>425</v>
      </c>
      <c r="B19" s="44">
        <v>0</v>
      </c>
      <c r="C19" s="228">
        <v>0</v>
      </c>
      <c r="D19" s="44"/>
      <c r="E19" s="44"/>
      <c r="F19" s="44"/>
    </row>
    <row r="20" spans="1:6" s="1" customFormat="1" ht="10.199999999999999" x14ac:dyDescent="0.2">
      <c r="A20" s="55" t="s">
        <v>729</v>
      </c>
      <c r="B20" s="228">
        <v>6593</v>
      </c>
      <c r="C20" s="228">
        <v>3659</v>
      </c>
      <c r="D20" s="44"/>
      <c r="E20" s="44"/>
      <c r="F20" s="44"/>
    </row>
    <row r="21" spans="1:6" s="1" customFormat="1" ht="10.199999999999999" x14ac:dyDescent="0.2">
      <c r="A21" s="55" t="s">
        <v>426</v>
      </c>
      <c r="B21" s="228">
        <v>0</v>
      </c>
      <c r="C21" s="228">
        <v>0</v>
      </c>
      <c r="D21" s="44"/>
      <c r="E21" s="44"/>
      <c r="F21" s="44"/>
    </row>
    <row r="22" spans="1:6" s="1" customFormat="1" ht="10.199999999999999" x14ac:dyDescent="0.2">
      <c r="A22" s="55" t="s">
        <v>730</v>
      </c>
      <c r="B22" s="228">
        <v>0</v>
      </c>
      <c r="C22" s="228">
        <v>0</v>
      </c>
      <c r="D22" s="44"/>
      <c r="E22" s="44"/>
      <c r="F22" s="44"/>
    </row>
    <row r="23" spans="1:6" s="1" customFormat="1" ht="10.199999999999999" x14ac:dyDescent="0.2">
      <c r="A23" s="55" t="s">
        <v>427</v>
      </c>
      <c r="B23" s="228">
        <v>-23756</v>
      </c>
      <c r="C23" s="228">
        <v>-17890</v>
      </c>
      <c r="D23" s="44"/>
      <c r="E23" s="44"/>
      <c r="F23" s="44"/>
    </row>
    <row r="24" spans="1:6" s="1" customFormat="1" ht="10.199999999999999" x14ac:dyDescent="0.2">
      <c r="A24" s="55" t="s">
        <v>428</v>
      </c>
      <c r="B24" s="228">
        <v>0</v>
      </c>
      <c r="C24" s="228">
        <v>0</v>
      </c>
      <c r="D24" s="44"/>
      <c r="E24" s="44"/>
      <c r="F24" s="44"/>
    </row>
    <row r="25" spans="1:6" s="1" customFormat="1" ht="10.199999999999999" x14ac:dyDescent="0.2">
      <c r="A25" s="55" t="s">
        <v>709</v>
      </c>
      <c r="B25" s="228">
        <v>0</v>
      </c>
      <c r="C25" s="228">
        <v>0</v>
      </c>
      <c r="D25" s="44"/>
      <c r="E25" s="44"/>
      <c r="F25" s="44"/>
    </row>
    <row r="26" spans="1:6" s="1" customFormat="1" ht="10.199999999999999" x14ac:dyDescent="0.2">
      <c r="A26" s="56" t="s">
        <v>429</v>
      </c>
      <c r="B26" s="127">
        <f>SUM(B27:B35)</f>
        <v>0</v>
      </c>
      <c r="C26" s="127">
        <f>SUM(C27:C35)</f>
        <v>0</v>
      </c>
      <c r="D26" s="44"/>
      <c r="E26" s="44"/>
      <c r="F26" s="44"/>
    </row>
    <row r="27" spans="1:6" s="1" customFormat="1" ht="10.199999999999999" x14ac:dyDescent="0.2">
      <c r="A27" s="55" t="s">
        <v>55</v>
      </c>
      <c r="B27" s="228">
        <v>0</v>
      </c>
      <c r="C27" s="228">
        <v>0</v>
      </c>
      <c r="D27" s="44"/>
      <c r="E27" s="44"/>
      <c r="F27" s="44"/>
    </row>
    <row r="28" spans="1:6" s="1" customFormat="1" ht="10.199999999999999" x14ac:dyDescent="0.2">
      <c r="A28" s="55" t="s">
        <v>49</v>
      </c>
      <c r="B28" s="228">
        <v>0</v>
      </c>
      <c r="C28" s="228">
        <v>0</v>
      </c>
      <c r="D28" s="44"/>
      <c r="E28" s="44"/>
      <c r="F28" s="44"/>
    </row>
    <row r="29" spans="1:6" s="1" customFormat="1" ht="10.199999999999999" x14ac:dyDescent="0.2">
      <c r="A29" s="55" t="s">
        <v>50</v>
      </c>
      <c r="B29" s="228">
        <v>0</v>
      </c>
      <c r="C29" s="228">
        <v>0</v>
      </c>
      <c r="D29" s="44"/>
      <c r="E29" s="44"/>
      <c r="F29" s="44"/>
    </row>
    <row r="30" spans="1:6" s="1" customFormat="1" ht="10.199999999999999" x14ac:dyDescent="0.2">
      <c r="A30" s="55" t="s">
        <v>51</v>
      </c>
      <c r="B30" s="228">
        <v>0</v>
      </c>
      <c r="C30" s="228">
        <v>0</v>
      </c>
      <c r="D30" s="44"/>
      <c r="E30" s="44"/>
      <c r="F30" s="44"/>
    </row>
    <row r="31" spans="1:6" s="1" customFormat="1" ht="10.199999999999999" x14ac:dyDescent="0.2">
      <c r="A31" s="55" t="s">
        <v>430</v>
      </c>
      <c r="B31" s="228">
        <v>0</v>
      </c>
      <c r="C31" s="228">
        <v>0</v>
      </c>
      <c r="D31" s="44"/>
      <c r="E31" s="44"/>
      <c r="F31" s="44"/>
    </row>
    <row r="32" spans="1:6" s="1" customFormat="1" ht="10.199999999999999" x14ac:dyDescent="0.2">
      <c r="A32" s="55" t="s">
        <v>741</v>
      </c>
      <c r="B32" s="228">
        <v>0</v>
      </c>
      <c r="C32" s="228">
        <v>0</v>
      </c>
      <c r="D32" s="44"/>
      <c r="E32" s="44"/>
      <c r="F32" s="44"/>
    </row>
    <row r="33" spans="1:6" s="1" customFormat="1" ht="10.199999999999999" x14ac:dyDescent="0.2">
      <c r="A33" s="55" t="s">
        <v>742</v>
      </c>
      <c r="B33" s="228">
        <v>0</v>
      </c>
      <c r="C33" s="228">
        <v>0</v>
      </c>
      <c r="D33" s="44"/>
      <c r="E33" s="44"/>
      <c r="F33" s="44"/>
    </row>
    <row r="34" spans="1:6" s="1" customFormat="1" ht="10.199999999999999" x14ac:dyDescent="0.2">
      <c r="A34" s="55" t="s">
        <v>431</v>
      </c>
      <c r="B34" s="228">
        <v>0</v>
      </c>
      <c r="C34" s="228">
        <v>0</v>
      </c>
      <c r="D34" s="44"/>
      <c r="E34" s="44"/>
      <c r="F34" s="44"/>
    </row>
    <row r="35" spans="1:6" s="1" customFormat="1" ht="10.199999999999999" x14ac:dyDescent="0.2">
      <c r="A35" s="55"/>
      <c r="B35" s="127"/>
      <c r="C35" s="127"/>
      <c r="D35" s="44"/>
      <c r="E35" s="44"/>
      <c r="F35" s="44"/>
    </row>
    <row r="36" spans="1:6" s="1" customFormat="1" ht="10.199999999999999" x14ac:dyDescent="0.2">
      <c r="A36" s="56" t="s">
        <v>97</v>
      </c>
      <c r="B36" s="127">
        <f>SUM(B37:B42)</f>
        <v>-49643</v>
      </c>
      <c r="C36" s="127">
        <f>SUM(C37:C42)</f>
        <v>188065</v>
      </c>
      <c r="D36" s="44"/>
      <c r="E36" s="44"/>
      <c r="F36" s="44"/>
    </row>
    <row r="37" spans="1:6" s="1" customFormat="1" ht="10.199999999999999" x14ac:dyDescent="0.2">
      <c r="A37" s="55" t="s">
        <v>472</v>
      </c>
      <c r="B37" s="228">
        <v>59000</v>
      </c>
      <c r="C37" s="228">
        <v>-212400</v>
      </c>
      <c r="D37" s="44"/>
      <c r="E37" s="44"/>
      <c r="F37" s="44"/>
    </row>
    <row r="38" spans="1:6" s="1" customFormat="1" ht="10.199999999999999" x14ac:dyDescent="0.2">
      <c r="A38" s="55" t="s">
        <v>59</v>
      </c>
      <c r="B38" s="228">
        <v>-185580</v>
      </c>
      <c r="C38" s="228">
        <v>133218</v>
      </c>
      <c r="D38" s="44"/>
      <c r="E38" s="44"/>
      <c r="F38" s="44"/>
    </row>
    <row r="39" spans="1:6" s="1" customFormat="1" ht="10.199999999999999" x14ac:dyDescent="0.2">
      <c r="A39" s="55" t="s">
        <v>743</v>
      </c>
      <c r="B39" s="228">
        <f>509833-432896</f>
        <v>76937</v>
      </c>
      <c r="C39" s="228">
        <v>267247</v>
      </c>
      <c r="D39" s="44"/>
      <c r="E39" s="44"/>
      <c r="F39" s="44"/>
    </row>
    <row r="40" spans="1:6" s="1" customFormat="1" ht="20.399999999999999" x14ac:dyDescent="0.2">
      <c r="A40" s="55" t="s">
        <v>60</v>
      </c>
      <c r="B40" s="228">
        <v>0</v>
      </c>
      <c r="C40" s="228">
        <v>0</v>
      </c>
      <c r="D40" s="44"/>
      <c r="E40" s="44"/>
      <c r="F40" s="44"/>
    </row>
    <row r="41" spans="1:6" s="1" customFormat="1" ht="20.399999999999999" x14ac:dyDescent="0.2">
      <c r="A41" s="55" t="s">
        <v>61</v>
      </c>
      <c r="B41" s="228">
        <v>0</v>
      </c>
      <c r="C41" s="228">
        <v>0</v>
      </c>
      <c r="D41" s="44"/>
      <c r="E41" s="44"/>
      <c r="F41" s="44"/>
    </row>
    <row r="42" spans="1:6" s="1" customFormat="1" ht="10.199999999999999" x14ac:dyDescent="0.2">
      <c r="A42" s="56"/>
      <c r="B42" s="127"/>
      <c r="C42" s="127"/>
      <c r="D42" s="44"/>
      <c r="E42" s="44"/>
      <c r="F42" s="44"/>
    </row>
    <row r="43" spans="1:6" s="1" customFormat="1" ht="10.199999999999999" x14ac:dyDescent="0.2">
      <c r="A43" s="56" t="s">
        <v>98</v>
      </c>
      <c r="B43" s="127">
        <f>SUM(B44:B47)</f>
        <v>-74920</v>
      </c>
      <c r="C43" s="127">
        <f>SUM(C44:C47)</f>
        <v>0</v>
      </c>
      <c r="D43" s="44"/>
      <c r="E43" s="44"/>
      <c r="F43" s="44"/>
    </row>
    <row r="44" spans="1:6" s="1" customFormat="1" ht="10.199999999999999" x14ac:dyDescent="0.2">
      <c r="A44" s="55" t="s">
        <v>56</v>
      </c>
      <c r="B44" s="228">
        <v>-74920</v>
      </c>
      <c r="C44" s="228">
        <f>RPP!D13</f>
        <v>0</v>
      </c>
      <c r="D44" s="44"/>
      <c r="E44" s="44"/>
      <c r="F44" s="44"/>
    </row>
    <row r="45" spans="1:6" s="1" customFormat="1" ht="20.399999999999999" x14ac:dyDescent="0.2">
      <c r="A45" s="55" t="s">
        <v>57</v>
      </c>
      <c r="B45" s="228">
        <v>0</v>
      </c>
      <c r="C45" s="228">
        <v>0</v>
      </c>
      <c r="D45" s="44"/>
      <c r="E45" s="44"/>
      <c r="F45" s="44"/>
    </row>
    <row r="46" spans="1:6" s="1" customFormat="1" ht="20.399999999999999" x14ac:dyDescent="0.2">
      <c r="A46" s="55" t="s">
        <v>58</v>
      </c>
      <c r="B46" s="228">
        <v>0</v>
      </c>
      <c r="C46" s="228">
        <v>0</v>
      </c>
      <c r="D46" s="44"/>
      <c r="E46" s="44"/>
      <c r="F46" s="44"/>
    </row>
    <row r="47" spans="1:6" s="1" customFormat="1" ht="10.199999999999999" x14ac:dyDescent="0.2">
      <c r="A47" s="55"/>
      <c r="B47" s="127"/>
      <c r="C47" s="127"/>
      <c r="D47" s="44"/>
      <c r="E47" s="44"/>
      <c r="F47" s="44"/>
    </row>
    <row r="48" spans="1:6" s="1" customFormat="1" ht="10.199999999999999" x14ac:dyDescent="0.2">
      <c r="A48" s="56" t="s">
        <v>432</v>
      </c>
      <c r="B48" s="127">
        <f>SUM(B49:B57)</f>
        <v>-599557.99</v>
      </c>
      <c r="C48" s="127">
        <f>SUM(C49:C57)</f>
        <v>-1072838</v>
      </c>
      <c r="D48" s="44"/>
      <c r="E48" s="44"/>
      <c r="F48" s="44"/>
    </row>
    <row r="49" spans="1:6" s="1" customFormat="1" ht="10.199999999999999" x14ac:dyDescent="0.2">
      <c r="A49" s="55" t="s">
        <v>433</v>
      </c>
      <c r="B49" s="228">
        <v>-545150.43000000005</v>
      </c>
      <c r="C49" s="228">
        <v>-1073455</v>
      </c>
      <c r="D49" s="44"/>
      <c r="E49" s="44"/>
      <c r="F49" s="44"/>
    </row>
    <row r="50" spans="1:6" s="1" customFormat="1" ht="10.199999999999999" x14ac:dyDescent="0.2">
      <c r="A50" s="55" t="s">
        <v>434</v>
      </c>
      <c r="B50" s="228">
        <v>-205236.56</v>
      </c>
      <c r="C50" s="228">
        <v>617</v>
      </c>
      <c r="D50" s="44"/>
      <c r="E50" s="44"/>
      <c r="F50" s="44"/>
    </row>
    <row r="51" spans="1:6" s="1" customFormat="1" ht="10.199999999999999" x14ac:dyDescent="0.2">
      <c r="A51" s="55" t="s">
        <v>960</v>
      </c>
      <c r="B51" s="228">
        <v>150829</v>
      </c>
      <c r="C51" s="228">
        <v>0</v>
      </c>
      <c r="D51" s="44"/>
      <c r="E51" s="44"/>
      <c r="F51" s="44"/>
    </row>
    <row r="52" spans="1:6" s="1" customFormat="1" ht="10.199999999999999" x14ac:dyDescent="0.2">
      <c r="A52" s="55" t="s">
        <v>435</v>
      </c>
      <c r="B52" s="228">
        <v>0</v>
      </c>
      <c r="C52" s="228">
        <v>0</v>
      </c>
      <c r="D52" s="44"/>
      <c r="E52" s="44"/>
      <c r="F52" s="44"/>
    </row>
    <row r="53" spans="1:6" s="1" customFormat="1" ht="10.199999999999999" x14ac:dyDescent="0.2">
      <c r="A53" s="55" t="s">
        <v>436</v>
      </c>
      <c r="B53" s="228">
        <v>0</v>
      </c>
      <c r="C53" s="228">
        <v>0</v>
      </c>
      <c r="D53" s="44"/>
      <c r="E53" s="44"/>
      <c r="F53" s="44"/>
    </row>
    <row r="54" spans="1:6" s="1" customFormat="1" ht="10.199999999999999" x14ac:dyDescent="0.2">
      <c r="A54" s="55" t="s">
        <v>437</v>
      </c>
      <c r="B54" s="228">
        <v>0</v>
      </c>
      <c r="C54" s="228">
        <v>0</v>
      </c>
      <c r="D54" s="44"/>
      <c r="E54" s="44"/>
      <c r="F54" s="44"/>
    </row>
    <row r="55" spans="1:6" s="1" customFormat="1" ht="20.399999999999999" x14ac:dyDescent="0.2">
      <c r="A55" s="55" t="s">
        <v>62</v>
      </c>
      <c r="B55" s="228">
        <v>0</v>
      </c>
      <c r="C55" s="228">
        <v>0</v>
      </c>
      <c r="D55" s="44"/>
      <c r="E55" s="44"/>
      <c r="F55" s="44"/>
    </row>
    <row r="56" spans="1:6" ht="20.399999999999999" x14ac:dyDescent="0.25">
      <c r="A56" s="55" t="s">
        <v>63</v>
      </c>
      <c r="B56" s="228">
        <v>0</v>
      </c>
      <c r="C56" s="228">
        <v>0</v>
      </c>
    </row>
    <row r="57" spans="1:6" x14ac:dyDescent="0.25">
      <c r="A57" s="55"/>
      <c r="B57" s="228">
        <v>0</v>
      </c>
      <c r="C57" s="228">
        <v>0</v>
      </c>
    </row>
    <row r="58" spans="1:6" ht="20.399999999999999" x14ac:dyDescent="0.25">
      <c r="A58" s="56" t="s">
        <v>473</v>
      </c>
      <c r="B58" s="127">
        <f>SUM(B59:B67)</f>
        <v>2570729</v>
      </c>
      <c r="C58" s="127">
        <f>SUM(C59:C67)</f>
        <v>2092794</v>
      </c>
    </row>
    <row r="59" spans="1:6" x14ac:dyDescent="0.25">
      <c r="A59" s="55" t="s">
        <v>438</v>
      </c>
      <c r="B59" s="228">
        <f>4227056-92621</f>
        <v>4134435</v>
      </c>
      <c r="C59" s="228">
        <v>2162460</v>
      </c>
    </row>
    <row r="60" spans="1:6" x14ac:dyDescent="0.25">
      <c r="A60" s="55" t="s">
        <v>439</v>
      </c>
      <c r="B60" s="228">
        <v>-1390872</v>
      </c>
      <c r="C60" s="228">
        <v>-69666</v>
      </c>
    </row>
    <row r="61" spans="1:6" x14ac:dyDescent="0.25">
      <c r="A61" s="55" t="s">
        <v>957</v>
      </c>
      <c r="B61" s="228">
        <v>-97101</v>
      </c>
      <c r="C61" s="228">
        <v>0</v>
      </c>
    </row>
    <row r="62" spans="1:6" x14ac:dyDescent="0.25">
      <c r="A62" s="55" t="s">
        <v>440</v>
      </c>
      <c r="B62" s="228">
        <v>0</v>
      </c>
      <c r="C62" s="228">
        <v>0</v>
      </c>
    </row>
    <row r="63" spans="1:6" x14ac:dyDescent="0.25">
      <c r="A63" s="55" t="s">
        <v>441</v>
      </c>
      <c r="B63" s="228">
        <v>-75733</v>
      </c>
      <c r="C63" s="228">
        <v>0</v>
      </c>
    </row>
    <row r="64" spans="1:6" x14ac:dyDescent="0.25">
      <c r="A64" s="55" t="s">
        <v>442</v>
      </c>
      <c r="B64" s="228">
        <v>0</v>
      </c>
      <c r="C64" s="228">
        <v>0</v>
      </c>
    </row>
    <row r="65" spans="1:3" ht="20.399999999999999" x14ac:dyDescent="0.25">
      <c r="A65" s="55" t="s">
        <v>406</v>
      </c>
      <c r="B65" s="228">
        <v>0</v>
      </c>
      <c r="C65" s="228">
        <v>0</v>
      </c>
    </row>
    <row r="66" spans="1:3" ht="20.399999999999999" x14ac:dyDescent="0.25">
      <c r="A66" s="55" t="s">
        <v>474</v>
      </c>
      <c r="B66" s="228">
        <v>0</v>
      </c>
      <c r="C66" s="228">
        <v>0</v>
      </c>
    </row>
    <row r="67" spans="1:3" x14ac:dyDescent="0.25">
      <c r="A67" s="55"/>
      <c r="B67" s="127"/>
      <c r="C67" s="127"/>
    </row>
    <row r="68" spans="1:3" x14ac:dyDescent="0.25">
      <c r="A68" s="56" t="s">
        <v>443</v>
      </c>
      <c r="B68" s="127">
        <f>SUM(B69:B74)</f>
        <v>108237</v>
      </c>
      <c r="C68" s="127">
        <f>SUM(C69:C74)</f>
        <v>164635</v>
      </c>
    </row>
    <row r="69" spans="1:3" x14ac:dyDescent="0.25">
      <c r="A69" s="55" t="s">
        <v>710</v>
      </c>
      <c r="B69" s="228">
        <v>0</v>
      </c>
      <c r="C69" s="228">
        <v>0</v>
      </c>
    </row>
    <row r="70" spans="1:3" x14ac:dyDescent="0.25">
      <c r="A70" s="55" t="s">
        <v>819</v>
      </c>
      <c r="B70" s="228">
        <v>0</v>
      </c>
      <c r="C70" s="228">
        <v>127187</v>
      </c>
    </row>
    <row r="71" spans="1:3" x14ac:dyDescent="0.25">
      <c r="A71" s="55" t="s">
        <v>711</v>
      </c>
      <c r="B71" s="228">
        <v>0</v>
      </c>
      <c r="C71" s="228">
        <v>0</v>
      </c>
    </row>
    <row r="72" spans="1:3" x14ac:dyDescent="0.25">
      <c r="A72" s="55" t="s">
        <v>744</v>
      </c>
      <c r="B72" s="228">
        <v>0</v>
      </c>
      <c r="C72" s="228">
        <v>0</v>
      </c>
    </row>
    <row r="73" spans="1:3" x14ac:dyDescent="0.25">
      <c r="A73" s="55" t="s">
        <v>578</v>
      </c>
      <c r="B73" s="228">
        <v>108237</v>
      </c>
      <c r="C73" s="228">
        <v>37448</v>
      </c>
    </row>
    <row r="74" spans="1:3" x14ac:dyDescent="0.25">
      <c r="A74" s="55"/>
      <c r="B74" s="127"/>
      <c r="C74" s="127"/>
    </row>
  </sheetData>
  <phoneticPr fontId="30" type="noConversion"/>
  <pageMargins left="0.7" right="0.7" top="0.75" bottom="0.75" header="0.3" footer="0.3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G21"/>
  <sheetViews>
    <sheetView view="pageBreakPreview" zoomScaleNormal="100" workbookViewId="0">
      <selection activeCell="F4" sqref="F4:G11"/>
    </sheetView>
  </sheetViews>
  <sheetFormatPr defaultColWidth="9.21875" defaultRowHeight="10.199999999999999" x14ac:dyDescent="0.2"/>
  <cols>
    <col min="1" max="1" width="3.5546875" style="181" customWidth="1"/>
    <col min="2" max="2" width="59" style="181" customWidth="1"/>
    <col min="3" max="3" width="0" style="181" hidden="1" customWidth="1"/>
    <col min="4" max="5" width="26" style="181" customWidth="1"/>
    <col min="6" max="16384" width="9.21875" style="181"/>
  </cols>
  <sheetData>
    <row r="1" spans="2:7" s="179" customFormat="1" ht="25.5" customHeight="1" x14ac:dyDescent="0.2">
      <c r="B1" s="180"/>
      <c r="C1" s="180"/>
      <c r="D1" s="180"/>
    </row>
    <row r="2" spans="2:7" s="185" customFormat="1" x14ac:dyDescent="0.25">
      <c r="B2" s="192"/>
      <c r="C2" s="192" t="s">
        <v>327</v>
      </c>
      <c r="D2" s="192" t="str">
        <f>CONCATENATE("za okres ",'Dane podstawowe'!$B$7)</f>
        <v>za okres 01.01.2018-31.12.2018</v>
      </c>
      <c r="E2" s="192" t="str">
        <f>CONCATENATE("za okres ",'Dane podstawowe'!$B$12)</f>
        <v>za okres 01.01.2017-31.12.2017</v>
      </c>
    </row>
    <row r="3" spans="2:7" s="363" customFormat="1" x14ac:dyDescent="0.25">
      <c r="B3" s="196" t="s">
        <v>133</v>
      </c>
      <c r="C3" s="286"/>
      <c r="D3" s="291">
        <f>RZiS!D31</f>
        <v>516996</v>
      </c>
      <c r="E3" s="291">
        <f>RZiS!E31</f>
        <v>2831650</v>
      </c>
    </row>
    <row r="4" spans="2:7" s="418" customFormat="1" ht="13.8" x14ac:dyDescent="0.25">
      <c r="B4" s="419" t="s">
        <v>635</v>
      </c>
      <c r="C4" s="291"/>
      <c r="D4" s="291">
        <f>SUM(D5:D12)</f>
        <v>0</v>
      </c>
      <c r="E4" s="291">
        <f>SUM(E5:E12)</f>
        <v>0</v>
      </c>
      <c r="F4" s="420"/>
      <c r="G4" s="420"/>
    </row>
    <row r="5" spans="2:7" s="17" customFormat="1" ht="13.8" x14ac:dyDescent="0.25">
      <c r="B5" s="390" t="s">
        <v>636</v>
      </c>
      <c r="C5" s="291"/>
      <c r="D5" s="292">
        <v>0</v>
      </c>
      <c r="E5" s="292">
        <v>0</v>
      </c>
      <c r="F5" s="420"/>
      <c r="G5" s="420"/>
    </row>
    <row r="6" spans="2:7" s="17" customFormat="1" ht="13.8" x14ac:dyDescent="0.25">
      <c r="B6" s="390" t="s">
        <v>637</v>
      </c>
      <c r="C6" s="291"/>
      <c r="D6" s="292">
        <v>0</v>
      </c>
      <c r="E6" s="292">
        <v>0</v>
      </c>
      <c r="F6" s="420"/>
      <c r="G6" s="420"/>
    </row>
    <row r="7" spans="2:7" s="18" customFormat="1" ht="20.399999999999999" x14ac:dyDescent="0.25">
      <c r="B7" s="390" t="s">
        <v>638</v>
      </c>
      <c r="C7" s="421"/>
      <c r="D7" s="421">
        <v>0</v>
      </c>
      <c r="E7" s="421">
        <v>0</v>
      </c>
      <c r="F7" s="420"/>
      <c r="G7" s="420"/>
    </row>
    <row r="8" spans="2:7" s="18" customFormat="1" ht="13.2" x14ac:dyDescent="0.25">
      <c r="B8" s="390" t="s">
        <v>639</v>
      </c>
      <c r="C8" s="291"/>
      <c r="D8" s="292">
        <v>0</v>
      </c>
      <c r="E8" s="292">
        <v>0</v>
      </c>
      <c r="F8" s="420"/>
      <c r="G8" s="420"/>
    </row>
    <row r="9" spans="2:7" s="18" customFormat="1" ht="20.399999999999999" x14ac:dyDescent="0.25">
      <c r="B9" s="390" t="s">
        <v>799</v>
      </c>
      <c r="C9" s="291"/>
      <c r="D9" s="292">
        <v>0</v>
      </c>
      <c r="E9" s="292">
        <v>0</v>
      </c>
      <c r="F9" s="420"/>
      <c r="G9" s="420"/>
    </row>
    <row r="10" spans="2:7" s="17" customFormat="1" ht="20.399999999999999" x14ac:dyDescent="0.25">
      <c r="B10" s="390" t="s">
        <v>640</v>
      </c>
      <c r="C10" s="291"/>
      <c r="D10" s="292">
        <v>0</v>
      </c>
      <c r="E10" s="292">
        <v>0</v>
      </c>
      <c r="F10" s="420"/>
      <c r="G10" s="420"/>
    </row>
    <row r="11" spans="2:7" s="17" customFormat="1" ht="20.399999999999999" x14ac:dyDescent="0.25">
      <c r="B11" s="390" t="s">
        <v>641</v>
      </c>
      <c r="C11" s="291"/>
      <c r="D11" s="292">
        <v>0</v>
      </c>
      <c r="E11" s="292">
        <v>0</v>
      </c>
      <c r="F11" s="420"/>
      <c r="G11" s="420"/>
    </row>
    <row r="12" spans="2:7" s="18" customFormat="1" ht="13.2" x14ac:dyDescent="0.25">
      <c r="B12" s="390" t="s">
        <v>328</v>
      </c>
      <c r="C12" s="292"/>
      <c r="D12" s="292">
        <v>0</v>
      </c>
      <c r="E12" s="292">
        <v>0</v>
      </c>
      <c r="F12" s="420"/>
      <c r="G12" s="420"/>
    </row>
    <row r="13" spans="2:7" s="17" customFormat="1" ht="20.399999999999999" x14ac:dyDescent="0.25">
      <c r="B13" s="419" t="s">
        <v>642</v>
      </c>
      <c r="C13" s="292"/>
      <c r="D13" s="291">
        <f>SUM(D14:D16)</f>
        <v>0</v>
      </c>
      <c r="E13" s="291">
        <f>SUM(E14:E16)</f>
        <v>0</v>
      </c>
    </row>
    <row r="14" spans="2:7" s="422" customFormat="1" ht="13.2" x14ac:dyDescent="0.25">
      <c r="B14" s="390" t="s">
        <v>643</v>
      </c>
      <c r="C14" s="292"/>
      <c r="D14" s="292">
        <v>0</v>
      </c>
      <c r="E14" s="292">
        <v>0</v>
      </c>
    </row>
    <row r="15" spans="2:7" s="21" customFormat="1" ht="16.5" customHeight="1" x14ac:dyDescent="0.2">
      <c r="B15" s="390" t="s">
        <v>644</v>
      </c>
      <c r="C15" s="292"/>
      <c r="D15" s="292">
        <v>0</v>
      </c>
      <c r="E15" s="292">
        <v>0</v>
      </c>
    </row>
    <row r="16" spans="2:7" s="21" customFormat="1" ht="16.5" customHeight="1" x14ac:dyDescent="0.2">
      <c r="B16" s="390" t="s">
        <v>328</v>
      </c>
      <c r="C16" s="292"/>
      <c r="D16" s="292">
        <v>0</v>
      </c>
      <c r="E16" s="292">
        <v>0</v>
      </c>
    </row>
    <row r="17" spans="2:5" s="365" customFormat="1" x14ac:dyDescent="0.2">
      <c r="B17" s="361" t="s">
        <v>329</v>
      </c>
      <c r="C17" s="286"/>
      <c r="D17" s="423">
        <f>D3+D4+D13</f>
        <v>516996</v>
      </c>
      <c r="E17" s="423">
        <f>E3+E4+E13</f>
        <v>2831650</v>
      </c>
    </row>
    <row r="18" spans="2:5" x14ac:dyDescent="0.2">
      <c r="B18" s="48" t="s">
        <v>585</v>
      </c>
      <c r="C18" s="364"/>
      <c r="D18" s="424">
        <v>80205</v>
      </c>
      <c r="E18" s="424">
        <v>411959</v>
      </c>
    </row>
    <row r="19" spans="2:5" s="366" customFormat="1" x14ac:dyDescent="0.2">
      <c r="B19" s="47" t="s">
        <v>330</v>
      </c>
      <c r="C19" s="40"/>
      <c r="D19" s="425">
        <f>D17-D18</f>
        <v>436791</v>
      </c>
      <c r="E19" s="425">
        <f>E17-E18</f>
        <v>2419691</v>
      </c>
    </row>
    <row r="20" spans="2:5" ht="16.5" customHeight="1" x14ac:dyDescent="0.2">
      <c r="B20" s="189"/>
      <c r="C20" s="189"/>
      <c r="D20" s="190"/>
      <c r="E20" s="190"/>
    </row>
    <row r="21" spans="2:5" ht="16.5" customHeight="1" x14ac:dyDescent="0.2">
      <c r="B21" s="189"/>
      <c r="C21" s="189"/>
      <c r="D21" s="190"/>
      <c r="E21" s="190"/>
    </row>
  </sheetData>
  <phoneticPr fontId="33" type="noConversion"/>
  <pageMargins left="0.75" right="0.75" top="1" bottom="1" header="0.5" footer="0.5"/>
  <pageSetup paperSize="9" scale="95" orientation="landscape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rgb="FF00B0F0"/>
    <pageSetUpPr fitToPage="1"/>
  </sheetPr>
  <dimension ref="B1:I36"/>
  <sheetViews>
    <sheetView showGridLines="0" view="pageBreakPreview" zoomScaleNormal="75" zoomScaleSheetLayoutView="80" workbookViewId="0">
      <selection activeCell="F27" sqref="F27:I27"/>
    </sheetView>
  </sheetViews>
  <sheetFormatPr defaultColWidth="9.21875" defaultRowHeight="13.2" x14ac:dyDescent="0.25"/>
  <cols>
    <col min="1" max="1" width="3.44140625" style="14" customWidth="1"/>
    <col min="2" max="2" width="59" style="14" customWidth="1"/>
    <col min="3" max="3" width="9.21875" style="14"/>
    <col min="4" max="4" width="16.77734375" style="14" bestFit="1" customWidth="1"/>
    <col min="5" max="5" width="15.77734375" style="14" bestFit="1" customWidth="1"/>
    <col min="6" max="16384" width="9.21875" style="14"/>
  </cols>
  <sheetData>
    <row r="1" spans="2:9" ht="17.399999999999999" x14ac:dyDescent="0.25">
      <c r="B1" s="637"/>
      <c r="C1" s="637"/>
      <c r="D1" s="637"/>
      <c r="E1" s="637"/>
    </row>
    <row r="2" spans="2:9" s="15" customFormat="1" x14ac:dyDescent="0.25">
      <c r="B2" s="192" t="s">
        <v>315</v>
      </c>
      <c r="C2" s="199" t="s">
        <v>358</v>
      </c>
      <c r="D2" s="460">
        <v>43465</v>
      </c>
      <c r="E2" s="460">
        <v>43100</v>
      </c>
      <c r="F2" s="18"/>
      <c r="G2" s="18"/>
      <c r="H2" s="18"/>
      <c r="I2" s="18"/>
    </row>
    <row r="3" spans="2:9" s="16" customFormat="1" ht="13.8" x14ac:dyDescent="0.25">
      <c r="B3" s="193" t="s">
        <v>544</v>
      </c>
      <c r="C3" s="194"/>
      <c r="D3" s="287">
        <f>SUM(D4:D14)</f>
        <v>24599907.66</v>
      </c>
      <c r="E3" s="287">
        <f>SUM(E4:E14)</f>
        <v>16745152</v>
      </c>
    </row>
    <row r="4" spans="2:9" s="17" customFormat="1" ht="13.8" x14ac:dyDescent="0.25">
      <c r="B4" s="184" t="s">
        <v>47</v>
      </c>
      <c r="C4" s="194" t="s">
        <v>713</v>
      </c>
      <c r="D4" s="290">
        <v>1302874</v>
      </c>
      <c r="E4" s="290">
        <v>882127</v>
      </c>
    </row>
    <row r="5" spans="2:9" s="18" customFormat="1" x14ac:dyDescent="0.25">
      <c r="B5" s="390" t="s">
        <v>46</v>
      </c>
      <c r="C5" s="194" t="s">
        <v>714</v>
      </c>
      <c r="D5" s="288">
        <v>18879368</v>
      </c>
      <c r="E5" s="288">
        <v>14712781</v>
      </c>
    </row>
    <row r="6" spans="2:9" s="18" customFormat="1" x14ac:dyDescent="0.25">
      <c r="B6" s="184" t="s">
        <v>577</v>
      </c>
      <c r="C6" s="194" t="s">
        <v>715</v>
      </c>
      <c r="D6" s="288">
        <v>3687465</v>
      </c>
      <c r="E6" s="288">
        <v>457692</v>
      </c>
    </row>
    <row r="7" spans="2:9" s="18" customFormat="1" x14ac:dyDescent="0.25">
      <c r="B7" s="184" t="s">
        <v>126</v>
      </c>
      <c r="C7" s="194"/>
      <c r="D7" s="288">
        <v>0</v>
      </c>
      <c r="E7" s="288">
        <v>0</v>
      </c>
    </row>
    <row r="8" spans="2:9" s="18" customFormat="1" x14ac:dyDescent="0.2">
      <c r="B8" s="327" t="s">
        <v>231</v>
      </c>
      <c r="C8" s="194" t="s">
        <v>716</v>
      </c>
      <c r="D8" s="288">
        <v>0</v>
      </c>
      <c r="E8" s="288">
        <v>0</v>
      </c>
    </row>
    <row r="9" spans="2:9" s="18" customFormat="1" x14ac:dyDescent="0.25">
      <c r="B9" s="184" t="s">
        <v>331</v>
      </c>
      <c r="C9" s="194" t="s">
        <v>646</v>
      </c>
      <c r="D9" s="288">
        <v>5000</v>
      </c>
      <c r="E9" s="288">
        <v>88112</v>
      </c>
    </row>
    <row r="10" spans="2:9" s="18" customFormat="1" x14ac:dyDescent="0.25">
      <c r="B10" s="184" t="s">
        <v>116</v>
      </c>
      <c r="C10" s="194"/>
      <c r="D10" s="288">
        <v>0</v>
      </c>
      <c r="E10" s="288">
        <v>0</v>
      </c>
    </row>
    <row r="11" spans="2:9" s="17" customFormat="1" ht="13.8" x14ac:dyDescent="0.25">
      <c r="B11" s="390" t="s">
        <v>800</v>
      </c>
      <c r="C11" s="194" t="s">
        <v>764</v>
      </c>
      <c r="D11" s="290">
        <v>0</v>
      </c>
      <c r="E11" s="290">
        <v>204521</v>
      </c>
    </row>
    <row r="12" spans="2:9" s="17" customFormat="1" ht="13.8" x14ac:dyDescent="0.25">
      <c r="B12" s="390" t="s">
        <v>553</v>
      </c>
      <c r="C12" s="194"/>
      <c r="D12" s="290">
        <v>274678.65999999997</v>
      </c>
      <c r="E12" s="290">
        <v>69442</v>
      </c>
    </row>
    <row r="13" spans="2:9" s="18" customFormat="1" x14ac:dyDescent="0.25">
      <c r="B13" s="184" t="s">
        <v>361</v>
      </c>
      <c r="C13" s="194">
        <v>6</v>
      </c>
      <c r="D13" s="288">
        <v>450141</v>
      </c>
      <c r="E13" s="288">
        <v>330477</v>
      </c>
    </row>
    <row r="14" spans="2:9" s="18" customFormat="1" x14ac:dyDescent="0.25">
      <c r="B14" s="390" t="s">
        <v>830</v>
      </c>
      <c r="C14" s="194"/>
      <c r="D14" s="288">
        <v>381</v>
      </c>
      <c r="E14" s="288">
        <v>0</v>
      </c>
    </row>
    <row r="15" spans="2:9" s="18" customFormat="1" x14ac:dyDescent="0.25">
      <c r="B15" s="193" t="s">
        <v>545</v>
      </c>
      <c r="C15" s="194"/>
      <c r="D15" s="287">
        <f>SUM(D16:D25)</f>
        <v>15532332</v>
      </c>
      <c r="E15" s="287">
        <f>SUM(E16:E25)</f>
        <v>17848015</v>
      </c>
    </row>
    <row r="16" spans="2:9" s="16" customFormat="1" ht="13.8" x14ac:dyDescent="0.25">
      <c r="B16" s="184" t="s">
        <v>535</v>
      </c>
      <c r="C16" s="194"/>
      <c r="D16" s="290">
        <v>74920</v>
      </c>
      <c r="E16" s="290">
        <v>0</v>
      </c>
    </row>
    <row r="17" spans="2:9" s="18" customFormat="1" x14ac:dyDescent="0.25">
      <c r="B17" s="184" t="s">
        <v>362</v>
      </c>
      <c r="C17" s="194" t="s">
        <v>647</v>
      </c>
      <c r="D17" s="288">
        <v>11404054</v>
      </c>
      <c r="E17" s="288">
        <v>10627288</v>
      </c>
    </row>
    <row r="18" spans="2:9" s="18" customFormat="1" x14ac:dyDescent="0.2">
      <c r="B18" s="327" t="s">
        <v>454</v>
      </c>
      <c r="C18" s="194"/>
      <c r="D18" s="288">
        <v>515839</v>
      </c>
      <c r="E18" s="288">
        <v>357443</v>
      </c>
    </row>
    <row r="19" spans="2:9" s="18" customFormat="1" x14ac:dyDescent="0.25">
      <c r="B19" s="184" t="s">
        <v>118</v>
      </c>
      <c r="C19" s="194" t="s">
        <v>648</v>
      </c>
      <c r="D19" s="421">
        <f>1401466-515839</f>
        <v>885627</v>
      </c>
      <c r="E19" s="421">
        <v>1275640</v>
      </c>
    </row>
    <row r="20" spans="2:9" s="18" customFormat="1" x14ac:dyDescent="0.25">
      <c r="B20" s="184" t="s">
        <v>359</v>
      </c>
      <c r="C20" s="194"/>
      <c r="D20" s="288">
        <v>0</v>
      </c>
      <c r="E20" s="288">
        <v>0</v>
      </c>
    </row>
    <row r="21" spans="2:9" s="16" customFormat="1" ht="13.8" x14ac:dyDescent="0.25">
      <c r="B21" s="184" t="s">
        <v>363</v>
      </c>
      <c r="C21" s="194"/>
      <c r="D21" s="290">
        <v>0</v>
      </c>
      <c r="E21" s="290">
        <v>0</v>
      </c>
    </row>
    <row r="22" spans="2:9" s="16" customFormat="1" ht="13.8" x14ac:dyDescent="0.25">
      <c r="B22" s="390" t="s">
        <v>663</v>
      </c>
      <c r="C22" s="194" t="s">
        <v>764</v>
      </c>
      <c r="D22" s="290">
        <v>262592</v>
      </c>
      <c r="E22" s="290">
        <v>681352</v>
      </c>
    </row>
    <row r="23" spans="2:9" s="18" customFormat="1" x14ac:dyDescent="0.25">
      <c r="B23" s="184" t="s">
        <v>117</v>
      </c>
      <c r="C23" s="194"/>
      <c r="D23" s="288">
        <v>0</v>
      </c>
      <c r="E23" s="288">
        <v>0</v>
      </c>
    </row>
    <row r="24" spans="2:9" s="18" customFormat="1" x14ac:dyDescent="0.25">
      <c r="B24" s="184" t="s">
        <v>360</v>
      </c>
      <c r="C24" s="194" t="s">
        <v>649</v>
      </c>
      <c r="D24" s="288">
        <v>122189</v>
      </c>
      <c r="E24" s="288">
        <v>102453</v>
      </c>
    </row>
    <row r="25" spans="2:9" s="18" customFormat="1" x14ac:dyDescent="0.25">
      <c r="B25" s="184" t="s">
        <v>364</v>
      </c>
      <c r="C25" s="194" t="s">
        <v>650</v>
      </c>
      <c r="D25" s="288">
        <v>2267111</v>
      </c>
      <c r="E25" s="288">
        <v>4803839</v>
      </c>
    </row>
    <row r="26" spans="2:9" s="285" customFormat="1" x14ac:dyDescent="0.2">
      <c r="B26" s="53" t="s">
        <v>314</v>
      </c>
      <c r="C26" s="194"/>
      <c r="D26" s="292">
        <v>0</v>
      </c>
      <c r="E26" s="292">
        <v>0</v>
      </c>
    </row>
    <row r="27" spans="2:9" s="15" customFormat="1" x14ac:dyDescent="0.25">
      <c r="B27" s="193" t="s">
        <v>365</v>
      </c>
      <c r="C27" s="194"/>
      <c r="D27" s="287">
        <f>SUM(D3,D15,D26)</f>
        <v>40132239.659999996</v>
      </c>
      <c r="E27" s="287">
        <f>SUM(E3,E15,E26)</f>
        <v>34593167</v>
      </c>
      <c r="F27" s="18"/>
      <c r="G27" s="18"/>
      <c r="H27" s="18"/>
      <c r="I27" s="18"/>
    </row>
    <row r="28" spans="2:9" s="21" customFormat="1" x14ac:dyDescent="0.25">
      <c r="B28" s="19"/>
      <c r="C28" s="23"/>
      <c r="D28" s="22"/>
      <c r="E28" s="20"/>
    </row>
    <row r="29" spans="2:9" s="21" customFormat="1" x14ac:dyDescent="0.25">
      <c r="B29" s="19"/>
      <c r="C29" s="23"/>
      <c r="D29" s="24"/>
      <c r="E29" s="20"/>
    </row>
    <row r="30" spans="2:9" s="21" customFormat="1" x14ac:dyDescent="0.25">
      <c r="B30" s="19"/>
      <c r="C30" s="23"/>
      <c r="D30" s="20"/>
      <c r="E30" s="20"/>
    </row>
    <row r="31" spans="2:9" s="21" customFormat="1" x14ac:dyDescent="0.25">
      <c r="B31" s="19"/>
      <c r="C31" s="23"/>
      <c r="D31" s="20"/>
      <c r="E31" s="20"/>
    </row>
    <row r="32" spans="2:9" s="21" customFormat="1" ht="13.8" x14ac:dyDescent="0.25">
      <c r="B32" s="26"/>
      <c r="C32" s="25"/>
      <c r="D32" s="20"/>
      <c r="E32" s="20"/>
    </row>
    <row r="33" spans="2:5" s="21" customFormat="1" x14ac:dyDescent="0.25">
      <c r="B33" s="19"/>
      <c r="C33" s="23"/>
      <c r="D33" s="20"/>
      <c r="E33" s="20"/>
    </row>
    <row r="34" spans="2:5" s="21" customFormat="1" ht="13.8" x14ac:dyDescent="0.25">
      <c r="B34" s="26"/>
      <c r="C34" s="25"/>
      <c r="D34" s="20"/>
      <c r="E34" s="20"/>
    </row>
    <row r="35" spans="2:5" s="21" customFormat="1" x14ac:dyDescent="0.25">
      <c r="B35" s="19"/>
      <c r="C35" s="23"/>
      <c r="D35" s="20"/>
      <c r="E35" s="20"/>
    </row>
    <row r="36" spans="2:5" s="21" customFormat="1" x14ac:dyDescent="0.25">
      <c r="B36" s="19"/>
      <c r="C36" s="23"/>
      <c r="D36" s="20"/>
      <c r="E36" s="20"/>
    </row>
  </sheetData>
  <mergeCells count="1">
    <mergeCell ref="B1:E1"/>
  </mergeCells>
  <phoneticPr fontId="3" type="noConversion"/>
  <pageMargins left="0.75" right="0.75" top="1" bottom="1" header="0.5" footer="0.5"/>
  <pageSetup paperSize="9" scale="96" orientation="landscape" horizontalDpi="4294967295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rgb="FF00B0F0"/>
    <pageSetUpPr fitToPage="1"/>
  </sheetPr>
  <dimension ref="B1:H42"/>
  <sheetViews>
    <sheetView showGridLines="0" view="pageBreakPreview" zoomScaleNormal="75" zoomScaleSheetLayoutView="80" workbookViewId="0">
      <selection activeCell="F31" sqref="F31:H31"/>
    </sheetView>
  </sheetViews>
  <sheetFormatPr defaultColWidth="9.21875" defaultRowHeight="13.2" x14ac:dyDescent="0.25"/>
  <cols>
    <col min="1" max="1" width="2.77734375" style="14" customWidth="1"/>
    <col min="2" max="2" width="59" style="14" customWidth="1"/>
    <col min="3" max="3" width="8.77734375" style="387" customWidth="1"/>
    <col min="4" max="4" width="16.77734375" style="14" bestFit="1" customWidth="1"/>
    <col min="5" max="5" width="16.5546875" style="14" bestFit="1" customWidth="1"/>
    <col min="6" max="16384" width="9.21875" style="14"/>
  </cols>
  <sheetData>
    <row r="1" spans="2:8" ht="15" x14ac:dyDescent="0.25">
      <c r="B1" s="178"/>
    </row>
    <row r="2" spans="2:8" s="15" customFormat="1" x14ac:dyDescent="0.25">
      <c r="B2" s="192" t="s">
        <v>463</v>
      </c>
      <c r="C2" s="199" t="s">
        <v>358</v>
      </c>
      <c r="D2" s="460">
        <v>43465</v>
      </c>
      <c r="E2" s="460">
        <v>43100</v>
      </c>
      <c r="F2" s="18"/>
      <c r="G2" s="18"/>
      <c r="H2" s="18"/>
    </row>
    <row r="3" spans="2:8" s="16" customFormat="1" ht="13.8" x14ac:dyDescent="0.25">
      <c r="B3" s="193" t="s">
        <v>458</v>
      </c>
      <c r="C3" s="194" t="s">
        <v>186</v>
      </c>
      <c r="D3" s="287">
        <f>D4+D12</f>
        <v>25821513</v>
      </c>
      <c r="E3" s="287">
        <f>E4+E12</f>
        <v>25146742</v>
      </c>
    </row>
    <row r="4" spans="2:8" s="16" customFormat="1" ht="13.8" x14ac:dyDescent="0.25">
      <c r="B4" s="479" t="s">
        <v>455</v>
      </c>
      <c r="C4" s="194" t="s">
        <v>186</v>
      </c>
      <c r="D4" s="291">
        <f>SUM(D5:D11)</f>
        <v>24687557</v>
      </c>
      <c r="E4" s="291">
        <f>SUM(E5:E11)</f>
        <v>23898450</v>
      </c>
    </row>
    <row r="5" spans="2:8" s="17" customFormat="1" ht="13.8" x14ac:dyDescent="0.25">
      <c r="B5" s="184" t="s">
        <v>373</v>
      </c>
      <c r="C5" s="194" t="s">
        <v>651</v>
      </c>
      <c r="D5" s="292">
        <v>229155</v>
      </c>
      <c r="E5" s="292">
        <v>229155</v>
      </c>
    </row>
    <row r="6" spans="2:8" s="17" customFormat="1" ht="13.8" x14ac:dyDescent="0.25">
      <c r="B6" s="184" t="s">
        <v>456</v>
      </c>
      <c r="C6" s="194"/>
      <c r="D6" s="292">
        <v>0</v>
      </c>
      <c r="E6" s="292">
        <v>0</v>
      </c>
    </row>
    <row r="7" spans="2:8" s="18" customFormat="1" x14ac:dyDescent="0.25">
      <c r="B7" s="184" t="s">
        <v>332</v>
      </c>
      <c r="C7" s="194" t="s">
        <v>186</v>
      </c>
      <c r="D7" s="288">
        <v>0</v>
      </c>
      <c r="E7" s="288">
        <v>0</v>
      </c>
    </row>
    <row r="8" spans="2:8" s="18" customFormat="1" x14ac:dyDescent="0.25">
      <c r="B8" s="184" t="s">
        <v>374</v>
      </c>
      <c r="C8" s="194" t="s">
        <v>765</v>
      </c>
      <c r="D8" s="288">
        <v>24071786</v>
      </c>
      <c r="E8" s="288">
        <v>21249604</v>
      </c>
    </row>
    <row r="9" spans="2:8" s="18" customFormat="1" x14ac:dyDescent="0.25">
      <c r="B9" s="480" t="s">
        <v>457</v>
      </c>
      <c r="C9" s="194" t="s">
        <v>186</v>
      </c>
      <c r="D9" s="288">
        <v>0</v>
      </c>
      <c r="E9" s="288">
        <v>0</v>
      </c>
    </row>
    <row r="10" spans="2:8" s="17" customFormat="1" ht="13.8" x14ac:dyDescent="0.25">
      <c r="B10" s="184" t="s">
        <v>120</v>
      </c>
      <c r="C10" s="194" t="s">
        <v>766</v>
      </c>
      <c r="D10" s="290">
        <v>-50175</v>
      </c>
      <c r="E10" s="290">
        <v>0</v>
      </c>
    </row>
    <row r="11" spans="2:8" s="18" customFormat="1" x14ac:dyDescent="0.25">
      <c r="B11" s="184" t="s">
        <v>121</v>
      </c>
      <c r="C11" s="194" t="s">
        <v>186</v>
      </c>
      <c r="D11" s="288">
        <v>436791</v>
      </c>
      <c r="E11" s="288">
        <v>2419691</v>
      </c>
    </row>
    <row r="12" spans="2:8" s="18" customFormat="1" ht="15" customHeight="1" x14ac:dyDescent="0.25">
      <c r="B12" s="479" t="s">
        <v>586</v>
      </c>
      <c r="C12" s="194" t="s">
        <v>767</v>
      </c>
      <c r="D12" s="293">
        <v>1133956</v>
      </c>
      <c r="E12" s="293">
        <v>1248292</v>
      </c>
    </row>
    <row r="13" spans="2:8" s="18" customFormat="1" x14ac:dyDescent="0.25">
      <c r="B13" s="193" t="s">
        <v>459</v>
      </c>
      <c r="C13" s="194" t="s">
        <v>186</v>
      </c>
      <c r="D13" s="287">
        <f>SUM(D14:D20)</f>
        <v>1413453</v>
      </c>
      <c r="E13" s="287">
        <f>SUM(E14:E20)</f>
        <v>811000</v>
      </c>
    </row>
    <row r="14" spans="2:8" s="16" customFormat="1" ht="13.8" x14ac:dyDescent="0.25">
      <c r="B14" s="184" t="s">
        <v>48</v>
      </c>
      <c r="C14" s="194" t="s">
        <v>768</v>
      </c>
      <c r="D14" s="290">
        <v>0</v>
      </c>
      <c r="E14" s="290">
        <v>0</v>
      </c>
    </row>
    <row r="15" spans="2:8" s="18" customFormat="1" x14ac:dyDescent="0.25">
      <c r="B15" s="390" t="s">
        <v>144</v>
      </c>
      <c r="C15" s="194" t="s">
        <v>769</v>
      </c>
      <c r="D15" s="288">
        <v>126053</v>
      </c>
      <c r="E15" s="288">
        <v>33433</v>
      </c>
    </row>
    <row r="16" spans="2:8" s="18" customFormat="1" x14ac:dyDescent="0.25">
      <c r="B16" s="390" t="s">
        <v>232</v>
      </c>
      <c r="C16" s="194"/>
      <c r="D16" s="288">
        <v>0</v>
      </c>
      <c r="E16" s="288">
        <v>0</v>
      </c>
    </row>
    <row r="17" spans="2:8" s="18" customFormat="1" x14ac:dyDescent="0.25">
      <c r="B17" s="390" t="s">
        <v>146</v>
      </c>
      <c r="C17" s="194">
        <v>6</v>
      </c>
      <c r="D17" s="288">
        <v>1287400</v>
      </c>
      <c r="E17" s="288">
        <v>777567</v>
      </c>
    </row>
    <row r="18" spans="2:8" s="16" customFormat="1" ht="13.8" x14ac:dyDescent="0.25">
      <c r="B18" s="390" t="s">
        <v>494</v>
      </c>
      <c r="C18" s="194" t="s">
        <v>772</v>
      </c>
      <c r="D18" s="290">
        <v>0</v>
      </c>
      <c r="E18" s="290">
        <v>0</v>
      </c>
    </row>
    <row r="19" spans="2:8" s="16" customFormat="1" ht="13.8" x14ac:dyDescent="0.25">
      <c r="B19" s="390" t="s">
        <v>375</v>
      </c>
      <c r="C19" s="194"/>
      <c r="D19" s="290">
        <v>0</v>
      </c>
      <c r="E19" s="290">
        <v>0</v>
      </c>
    </row>
    <row r="20" spans="2:8" s="16" customFormat="1" ht="13.8" x14ac:dyDescent="0.25">
      <c r="B20" s="390" t="s">
        <v>325</v>
      </c>
      <c r="C20" s="194"/>
      <c r="D20" s="290">
        <v>0</v>
      </c>
      <c r="E20" s="290">
        <v>0</v>
      </c>
    </row>
    <row r="21" spans="2:8" s="18" customFormat="1" x14ac:dyDescent="0.25">
      <c r="B21" s="193" t="s">
        <v>350</v>
      </c>
      <c r="C21" s="194" t="s">
        <v>186</v>
      </c>
      <c r="D21" s="287">
        <f>SUM(D22:D30)</f>
        <v>12897274</v>
      </c>
      <c r="E21" s="287">
        <f>SUM(E22:E30)</f>
        <v>8635425</v>
      </c>
    </row>
    <row r="22" spans="2:8" s="18" customFormat="1" x14ac:dyDescent="0.25">
      <c r="B22" s="184" t="s">
        <v>48</v>
      </c>
      <c r="C22" s="194" t="s">
        <v>768</v>
      </c>
      <c r="D22" s="290">
        <v>1393800</v>
      </c>
      <c r="E22" s="290">
        <v>2928</v>
      </c>
    </row>
    <row r="23" spans="2:8" s="18" customFormat="1" x14ac:dyDescent="0.25">
      <c r="B23" s="390" t="s">
        <v>144</v>
      </c>
      <c r="C23" s="194" t="s">
        <v>769</v>
      </c>
      <c r="D23" s="290">
        <v>110125</v>
      </c>
      <c r="E23" s="290">
        <v>13024</v>
      </c>
    </row>
    <row r="24" spans="2:8" s="18" customFormat="1" x14ac:dyDescent="0.25">
      <c r="B24" s="184" t="s">
        <v>376</v>
      </c>
      <c r="C24" s="194" t="s">
        <v>770</v>
      </c>
      <c r="D24" s="290">
        <v>7476785</v>
      </c>
      <c r="E24" s="288">
        <v>5636093</v>
      </c>
    </row>
    <row r="25" spans="2:8" s="18" customFormat="1" x14ac:dyDescent="0.25">
      <c r="B25" s="480" t="s">
        <v>460</v>
      </c>
      <c r="C25" s="194" t="s">
        <v>186</v>
      </c>
      <c r="D25" s="290">
        <v>0</v>
      </c>
      <c r="E25" s="288">
        <v>0</v>
      </c>
    </row>
    <row r="26" spans="2:8" s="18" customFormat="1" x14ac:dyDescent="0.25">
      <c r="B26" s="184" t="s">
        <v>530</v>
      </c>
      <c r="C26" s="194" t="s">
        <v>771</v>
      </c>
      <c r="D26" s="290">
        <v>3122868</v>
      </c>
      <c r="E26" s="288">
        <v>2366823</v>
      </c>
    </row>
    <row r="27" spans="2:8" s="18" customFormat="1" x14ac:dyDescent="0.25">
      <c r="B27" s="390" t="s">
        <v>697</v>
      </c>
      <c r="C27" s="194" t="s">
        <v>772</v>
      </c>
      <c r="D27" s="290">
        <v>507954</v>
      </c>
      <c r="E27" s="288">
        <v>253960</v>
      </c>
    </row>
    <row r="28" spans="2:8" s="18" customFormat="1" x14ac:dyDescent="0.25">
      <c r="B28" s="184" t="s">
        <v>375</v>
      </c>
      <c r="C28" s="194" t="s">
        <v>773</v>
      </c>
      <c r="D28" s="290">
        <v>148017</v>
      </c>
      <c r="E28" s="288">
        <v>333597</v>
      </c>
    </row>
    <row r="29" spans="2:8" s="18" customFormat="1" x14ac:dyDescent="0.25">
      <c r="B29" s="184" t="s">
        <v>325</v>
      </c>
      <c r="C29" s="194" t="s">
        <v>652</v>
      </c>
      <c r="D29" s="290">
        <v>88000</v>
      </c>
      <c r="E29" s="288">
        <v>29000</v>
      </c>
    </row>
    <row r="30" spans="2:8" s="285" customFormat="1" x14ac:dyDescent="0.25">
      <c r="B30" s="390" t="s">
        <v>851</v>
      </c>
      <c r="C30" s="194"/>
      <c r="D30" s="292">
        <v>49725</v>
      </c>
      <c r="E30" s="292">
        <v>0</v>
      </c>
    </row>
    <row r="31" spans="2:8" s="15" customFormat="1" x14ac:dyDescent="0.25">
      <c r="B31" s="193" t="s">
        <v>377</v>
      </c>
      <c r="C31" s="194" t="s">
        <v>186</v>
      </c>
      <c r="D31" s="287">
        <f>SUM(D3,D13,D21)</f>
        <v>40132240</v>
      </c>
      <c r="E31" s="287">
        <f>SUM(E3,E13,E21)</f>
        <v>34593167</v>
      </c>
      <c r="F31" s="18"/>
      <c r="G31" s="18"/>
      <c r="H31" s="18"/>
    </row>
    <row r="32" spans="2:8" x14ac:dyDescent="0.25">
      <c r="B32" s="198" t="s">
        <v>137</v>
      </c>
      <c r="C32" s="194" t="s">
        <v>186</v>
      </c>
      <c r="D32" s="447">
        <f>D3/2291551</f>
        <v>11.268138042749213</v>
      </c>
      <c r="E32" s="447">
        <f>E3/2291551</f>
        <v>10.973677653257553</v>
      </c>
    </row>
    <row r="33" spans="2:5" s="21" customFormat="1" x14ac:dyDescent="0.25">
      <c r="B33" s="19"/>
      <c r="C33" s="388"/>
      <c r="D33" s="22"/>
      <c r="E33" s="20"/>
    </row>
    <row r="34" spans="2:5" s="21" customFormat="1" x14ac:dyDescent="0.25">
      <c r="B34" s="19"/>
      <c r="C34" s="388"/>
      <c r="D34" s="22"/>
      <c r="E34" s="20"/>
    </row>
    <row r="35" spans="2:5" s="21" customFormat="1" x14ac:dyDescent="0.25">
      <c r="B35" s="19"/>
      <c r="C35" s="388"/>
      <c r="D35" s="24"/>
      <c r="E35" s="20"/>
    </row>
    <row r="36" spans="2:5" s="21" customFormat="1" x14ac:dyDescent="0.25">
      <c r="B36" s="19"/>
      <c r="C36" s="388"/>
      <c r="D36" s="20"/>
      <c r="E36" s="20"/>
    </row>
    <row r="37" spans="2:5" s="21" customFormat="1" x14ac:dyDescent="0.25">
      <c r="B37" s="19"/>
      <c r="C37" s="388"/>
      <c r="D37" s="20"/>
      <c r="E37" s="20"/>
    </row>
    <row r="38" spans="2:5" s="21" customFormat="1" ht="13.8" x14ac:dyDescent="0.25">
      <c r="B38" s="26"/>
      <c r="C38" s="389"/>
      <c r="D38" s="20"/>
      <c r="E38" s="20"/>
    </row>
    <row r="39" spans="2:5" s="21" customFormat="1" x14ac:dyDescent="0.25">
      <c r="B39" s="19"/>
      <c r="C39" s="388"/>
      <c r="D39" s="20"/>
      <c r="E39" s="20"/>
    </row>
    <row r="40" spans="2:5" s="21" customFormat="1" ht="13.8" x14ac:dyDescent="0.25">
      <c r="B40" s="26"/>
      <c r="C40" s="389"/>
      <c r="D40" s="20"/>
      <c r="E40" s="20"/>
    </row>
    <row r="41" spans="2:5" s="21" customFormat="1" x14ac:dyDescent="0.25">
      <c r="B41" s="19"/>
      <c r="C41" s="388"/>
      <c r="D41" s="20"/>
      <c r="E41" s="20"/>
    </row>
    <row r="42" spans="2:5" s="21" customFormat="1" x14ac:dyDescent="0.25">
      <c r="B42" s="19"/>
      <c r="C42" s="388"/>
      <c r="D42" s="20"/>
      <c r="E42" s="20"/>
    </row>
  </sheetData>
  <phoneticPr fontId="28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00B0F0"/>
    <pageSetUpPr fitToPage="1"/>
  </sheetPr>
  <dimension ref="B1:K37"/>
  <sheetViews>
    <sheetView showGridLines="0" view="pageBreakPreview" topLeftCell="A28" zoomScale="98" zoomScaleNormal="100" zoomScaleSheetLayoutView="98" workbookViewId="0">
      <selection activeCell="B24" sqref="B24:B26"/>
    </sheetView>
  </sheetViews>
  <sheetFormatPr defaultColWidth="9.21875" defaultRowHeight="15" x14ac:dyDescent="0.25"/>
  <cols>
    <col min="1" max="1" width="4.5546875" style="27" customWidth="1"/>
    <col min="2" max="2" width="57.21875" style="27" bestFit="1" customWidth="1"/>
    <col min="3" max="5" width="14.77734375" style="27" customWidth="1"/>
    <col min="6" max="6" width="14.77734375" style="27" hidden="1" customWidth="1"/>
    <col min="7" max="9" width="14.77734375" style="27" customWidth="1"/>
    <col min="10" max="10" width="16.21875" style="27" customWidth="1"/>
    <col min="11" max="11" width="14.77734375" style="27" customWidth="1"/>
    <col min="12" max="16384" width="9.21875" style="27"/>
  </cols>
  <sheetData>
    <row r="1" spans="2:11" x14ac:dyDescent="0.25">
      <c r="B1" s="39"/>
    </row>
    <row r="2" spans="2:11" s="14" customFormat="1" ht="16.8" x14ac:dyDescent="0.25">
      <c r="B2" s="202" t="s">
        <v>129</v>
      </c>
      <c r="C2" s="201"/>
      <c r="D2" s="201"/>
      <c r="E2" s="201"/>
      <c r="F2" s="30"/>
    </row>
    <row r="3" spans="2:11" s="14" customFormat="1" ht="63" customHeight="1" x14ac:dyDescent="0.25">
      <c r="B3" s="73"/>
      <c r="C3" s="200" t="s">
        <v>373</v>
      </c>
      <c r="D3" s="199" t="s">
        <v>909</v>
      </c>
      <c r="E3" s="199" t="s">
        <v>374</v>
      </c>
      <c r="F3" s="199" t="s">
        <v>457</v>
      </c>
      <c r="G3" s="199" t="s">
        <v>120</v>
      </c>
      <c r="H3" s="199" t="s">
        <v>121</v>
      </c>
      <c r="I3" s="199" t="s">
        <v>461</v>
      </c>
      <c r="J3" s="199" t="s">
        <v>664</v>
      </c>
      <c r="K3" s="199" t="s">
        <v>462</v>
      </c>
    </row>
    <row r="4" spans="2:11" x14ac:dyDescent="0.25">
      <c r="B4" s="638" t="s">
        <v>910</v>
      </c>
      <c r="C4" s="639"/>
      <c r="D4" s="639"/>
      <c r="E4" s="639"/>
      <c r="F4" s="639"/>
      <c r="G4" s="639"/>
      <c r="H4" s="639"/>
      <c r="I4" s="639"/>
      <c r="J4" s="639"/>
      <c r="K4" s="639"/>
    </row>
    <row r="5" spans="2:11" x14ac:dyDescent="0.25">
      <c r="B5" s="294" t="s">
        <v>907</v>
      </c>
      <c r="C5" s="168">
        <f>C37</f>
        <v>229155</v>
      </c>
      <c r="D5" s="168">
        <f t="shared" ref="D5:J5" si="0">D37</f>
        <v>11405663</v>
      </c>
      <c r="E5" s="168">
        <f t="shared" si="0"/>
        <v>9843941</v>
      </c>
      <c r="F5" s="168">
        <f t="shared" si="0"/>
        <v>0</v>
      </c>
      <c r="G5" s="168">
        <f>G37+H37</f>
        <v>2419691</v>
      </c>
      <c r="H5" s="168">
        <v>0</v>
      </c>
      <c r="I5" s="168">
        <f>SUM(C5:H5)</f>
        <v>23898450</v>
      </c>
      <c r="J5" s="168">
        <f t="shared" si="0"/>
        <v>1248292</v>
      </c>
      <c r="K5" s="168">
        <f>I5+J5</f>
        <v>25146742</v>
      </c>
    </row>
    <row r="6" spans="2:11" x14ac:dyDescent="0.25">
      <c r="B6" s="585" t="s">
        <v>908</v>
      </c>
      <c r="C6" s="296">
        <v>0</v>
      </c>
      <c r="D6" s="296">
        <v>0</v>
      </c>
      <c r="E6" s="296">
        <v>0</v>
      </c>
      <c r="F6" s="296">
        <v>0</v>
      </c>
      <c r="G6" s="296">
        <v>-50175</v>
      </c>
      <c r="H6" s="296">
        <v>0</v>
      </c>
      <c r="I6" s="247">
        <f t="shared" ref="I6:I10" si="1">SUM(C6:H6)</f>
        <v>-50175</v>
      </c>
      <c r="J6" s="247">
        <v>0</v>
      </c>
      <c r="K6" s="247">
        <f t="shared" ref="K6:K21" si="2">I6+J6</f>
        <v>-50175</v>
      </c>
    </row>
    <row r="7" spans="2:11" x14ac:dyDescent="0.25">
      <c r="B7" s="295" t="s">
        <v>465</v>
      </c>
      <c r="C7" s="296">
        <v>0</v>
      </c>
      <c r="D7" s="296">
        <v>0</v>
      </c>
      <c r="E7" s="296">
        <v>0</v>
      </c>
      <c r="F7" s="296">
        <v>0</v>
      </c>
      <c r="G7" s="296">
        <v>0</v>
      </c>
      <c r="H7" s="296">
        <v>0</v>
      </c>
      <c r="I7" s="247">
        <f t="shared" si="1"/>
        <v>0</v>
      </c>
      <c r="J7" s="247">
        <v>0</v>
      </c>
      <c r="K7" s="247">
        <f t="shared" si="2"/>
        <v>0</v>
      </c>
    </row>
    <row r="8" spans="2:11" x14ac:dyDescent="0.25">
      <c r="B8" s="297" t="s">
        <v>466</v>
      </c>
      <c r="C8" s="168">
        <f>SUM(C5:C7)</f>
        <v>229155</v>
      </c>
      <c r="D8" s="168">
        <f t="shared" ref="D8:J8" si="3">SUM(D5:D7)</f>
        <v>11405663</v>
      </c>
      <c r="E8" s="168">
        <f>SUM(E5:E7)</f>
        <v>9843941</v>
      </c>
      <c r="F8" s="168">
        <f t="shared" si="3"/>
        <v>0</v>
      </c>
      <c r="G8" s="168">
        <f t="shared" si="3"/>
        <v>2369516</v>
      </c>
      <c r="H8" s="168">
        <f t="shared" si="3"/>
        <v>0</v>
      </c>
      <c r="I8" s="168">
        <f>SUM(C8:H8)</f>
        <v>23848275</v>
      </c>
      <c r="J8" s="168">
        <f t="shared" si="3"/>
        <v>1248292</v>
      </c>
      <c r="K8" s="168">
        <f t="shared" si="2"/>
        <v>25096567</v>
      </c>
    </row>
    <row r="9" spans="2:11" s="17" customFormat="1" ht="13.8" x14ac:dyDescent="0.25">
      <c r="B9" s="295" t="s">
        <v>147</v>
      </c>
      <c r="C9" s="292">
        <v>0</v>
      </c>
      <c r="D9" s="292">
        <v>0</v>
      </c>
      <c r="E9" s="292">
        <v>0</v>
      </c>
      <c r="F9" s="292">
        <v>0</v>
      </c>
      <c r="G9" s="299">
        <v>0</v>
      </c>
      <c r="H9" s="299">
        <v>0</v>
      </c>
      <c r="I9" s="247">
        <f t="shared" si="1"/>
        <v>0</v>
      </c>
      <c r="J9" s="299">
        <v>0</v>
      </c>
      <c r="K9" s="247">
        <f t="shared" si="2"/>
        <v>0</v>
      </c>
    </row>
    <row r="10" spans="2:11" x14ac:dyDescent="0.25">
      <c r="B10" s="295" t="s">
        <v>467</v>
      </c>
      <c r="C10" s="300">
        <v>0</v>
      </c>
      <c r="D10" s="300">
        <v>0</v>
      </c>
      <c r="E10" s="300">
        <v>0</v>
      </c>
      <c r="F10" s="300">
        <v>0</v>
      </c>
      <c r="G10" s="296">
        <v>0</v>
      </c>
      <c r="H10" s="296">
        <v>0</v>
      </c>
      <c r="I10" s="247">
        <f t="shared" si="1"/>
        <v>0</v>
      </c>
      <c r="J10" s="247">
        <v>0</v>
      </c>
      <c r="K10" s="247">
        <f t="shared" si="2"/>
        <v>0</v>
      </c>
    </row>
    <row r="11" spans="2:11" s="17" customFormat="1" ht="13.8" x14ac:dyDescent="0.25">
      <c r="B11" s="427" t="s">
        <v>665</v>
      </c>
      <c r="C11" s="292">
        <v>0</v>
      </c>
      <c r="D11" s="292">
        <v>207950</v>
      </c>
      <c r="E11" s="292">
        <v>0</v>
      </c>
      <c r="F11" s="292">
        <v>0</v>
      </c>
      <c r="G11" s="299">
        <v>0</v>
      </c>
      <c r="H11" s="299">
        <v>0</v>
      </c>
      <c r="I11" s="247">
        <f>SUM(C11:H11)</f>
        <v>207950</v>
      </c>
      <c r="J11" s="299">
        <v>0</v>
      </c>
      <c r="K11" s="247">
        <f>I11+J11</f>
        <v>207950</v>
      </c>
    </row>
    <row r="12" spans="2:11" s="17" customFormat="1" ht="13.8" x14ac:dyDescent="0.25">
      <c r="B12" s="295" t="s">
        <v>7</v>
      </c>
      <c r="C12" s="292">
        <v>0</v>
      </c>
      <c r="D12" s="292">
        <v>2419691</v>
      </c>
      <c r="E12" s="296">
        <v>0</v>
      </c>
      <c r="F12" s="292">
        <v>0</v>
      </c>
      <c r="G12" s="299">
        <v>-2419691</v>
      </c>
      <c r="H12" s="299">
        <v>0</v>
      </c>
      <c r="I12" s="247">
        <f t="shared" ref="I12:I20" si="4">SUM(C12:H12)</f>
        <v>0</v>
      </c>
      <c r="J12" s="299">
        <v>0</v>
      </c>
      <c r="K12" s="247">
        <f t="shared" si="2"/>
        <v>0</v>
      </c>
    </row>
    <row r="13" spans="2:11" s="17" customFormat="1" ht="13.8" x14ac:dyDescent="0.25">
      <c r="B13" s="427" t="s">
        <v>913</v>
      </c>
      <c r="C13" s="292">
        <v>0</v>
      </c>
      <c r="D13" s="292">
        <v>-4312248</v>
      </c>
      <c r="E13" s="296">
        <v>4312248</v>
      </c>
      <c r="F13" s="292"/>
      <c r="G13" s="299">
        <v>0</v>
      </c>
      <c r="H13" s="299">
        <v>0</v>
      </c>
      <c r="I13" s="247">
        <f t="shared" si="4"/>
        <v>0</v>
      </c>
      <c r="J13" s="299">
        <v>0</v>
      </c>
      <c r="K13" s="247">
        <f t="shared" si="2"/>
        <v>0</v>
      </c>
    </row>
    <row r="14" spans="2:11" s="17" customFormat="1" ht="13.8" x14ac:dyDescent="0.25">
      <c r="B14" s="427" t="s">
        <v>914</v>
      </c>
      <c r="C14" s="292">
        <v>0</v>
      </c>
      <c r="D14" s="292">
        <v>-1060331</v>
      </c>
      <c r="E14" s="296">
        <v>0</v>
      </c>
      <c r="F14" s="292"/>
      <c r="G14" s="299">
        <v>0</v>
      </c>
      <c r="H14" s="299">
        <v>0</v>
      </c>
      <c r="I14" s="247">
        <f t="shared" si="4"/>
        <v>-1060331</v>
      </c>
      <c r="J14" s="299">
        <v>1060331</v>
      </c>
      <c r="K14" s="247">
        <f t="shared" si="2"/>
        <v>0</v>
      </c>
    </row>
    <row r="15" spans="2:11" x14ac:dyDescent="0.25">
      <c r="B15" s="427" t="s">
        <v>911</v>
      </c>
      <c r="C15" s="296">
        <v>0</v>
      </c>
      <c r="D15" s="296">
        <v>1254872</v>
      </c>
      <c r="E15" s="296">
        <v>0</v>
      </c>
      <c r="F15" s="296">
        <v>0</v>
      </c>
      <c r="G15" s="296">
        <v>0</v>
      </c>
      <c r="H15" s="296">
        <v>0</v>
      </c>
      <c r="I15" s="247">
        <f t="shared" si="4"/>
        <v>1254872</v>
      </c>
      <c r="J15" s="247">
        <v>-1254872</v>
      </c>
      <c r="K15" s="247">
        <f t="shared" si="2"/>
        <v>0</v>
      </c>
    </row>
    <row r="16" spans="2:11" x14ac:dyDescent="0.25">
      <c r="B16" s="427" t="s">
        <v>740</v>
      </c>
      <c r="C16" s="296">
        <v>0</v>
      </c>
      <c r="D16" s="296">
        <v>0</v>
      </c>
      <c r="E16" s="296">
        <v>0</v>
      </c>
      <c r="F16" s="296">
        <v>0</v>
      </c>
      <c r="G16" s="296">
        <v>0</v>
      </c>
      <c r="H16" s="296">
        <v>0</v>
      </c>
      <c r="I16" s="247">
        <f t="shared" si="4"/>
        <v>0</v>
      </c>
      <c r="J16" s="247">
        <v>0</v>
      </c>
      <c r="K16" s="247">
        <f t="shared" si="2"/>
        <v>0</v>
      </c>
    </row>
    <row r="17" spans="2:11" hidden="1" x14ac:dyDescent="0.25">
      <c r="B17" s="427" t="s">
        <v>667</v>
      </c>
      <c r="C17" s="296">
        <v>0</v>
      </c>
      <c r="D17" s="296">
        <v>0</v>
      </c>
      <c r="E17" s="296">
        <v>0</v>
      </c>
      <c r="F17" s="296">
        <v>0</v>
      </c>
      <c r="G17" s="296">
        <v>0</v>
      </c>
      <c r="H17" s="296">
        <v>0</v>
      </c>
      <c r="I17" s="247">
        <f t="shared" si="4"/>
        <v>0</v>
      </c>
      <c r="J17" s="247">
        <v>0</v>
      </c>
      <c r="K17" s="247">
        <f t="shared" si="2"/>
        <v>0</v>
      </c>
    </row>
    <row r="18" spans="2:11" hidden="1" x14ac:dyDescent="0.25">
      <c r="B18" s="427" t="s">
        <v>666</v>
      </c>
      <c r="C18" s="296">
        <v>0</v>
      </c>
      <c r="D18" s="296">
        <v>0</v>
      </c>
      <c r="E18" s="296">
        <v>0</v>
      </c>
      <c r="F18" s="296">
        <v>0</v>
      </c>
      <c r="G18" s="296">
        <v>0</v>
      </c>
      <c r="H18" s="296">
        <v>0</v>
      </c>
      <c r="I18" s="247">
        <f t="shared" si="4"/>
        <v>0</v>
      </c>
      <c r="J18" s="247">
        <v>0</v>
      </c>
      <c r="K18" s="247">
        <f t="shared" si="2"/>
        <v>0</v>
      </c>
    </row>
    <row r="19" spans="2:11" x14ac:dyDescent="0.25">
      <c r="B19" s="427" t="s">
        <v>912</v>
      </c>
      <c r="C19" s="296">
        <v>0</v>
      </c>
      <c r="D19" s="296">
        <v>0</v>
      </c>
      <c r="E19" s="296">
        <v>0</v>
      </c>
      <c r="F19" s="296">
        <v>0</v>
      </c>
      <c r="G19" s="296">
        <v>0</v>
      </c>
      <c r="H19" s="296">
        <v>436791</v>
      </c>
      <c r="I19" s="247">
        <f t="shared" si="4"/>
        <v>436791</v>
      </c>
      <c r="J19" s="247">
        <v>0</v>
      </c>
      <c r="K19" s="247">
        <f t="shared" si="2"/>
        <v>436791</v>
      </c>
    </row>
    <row r="20" spans="2:11" x14ac:dyDescent="0.25">
      <c r="B20" s="427" t="s">
        <v>733</v>
      </c>
      <c r="C20" s="296">
        <v>0</v>
      </c>
      <c r="D20" s="296">
        <v>0</v>
      </c>
      <c r="E20" s="296">
        <v>0</v>
      </c>
      <c r="F20" s="296">
        <v>0</v>
      </c>
      <c r="G20" s="296">
        <v>0</v>
      </c>
      <c r="H20" s="296">
        <v>0</v>
      </c>
      <c r="I20" s="247">
        <f t="shared" si="4"/>
        <v>0</v>
      </c>
      <c r="J20" s="247">
        <v>80205</v>
      </c>
      <c r="K20" s="247">
        <f t="shared" si="2"/>
        <v>80205</v>
      </c>
    </row>
    <row r="21" spans="2:11" x14ac:dyDescent="0.25">
      <c r="B21" s="427" t="s">
        <v>814</v>
      </c>
      <c r="C21" s="296">
        <v>0</v>
      </c>
      <c r="D21" s="296">
        <v>0</v>
      </c>
      <c r="E21" s="296">
        <v>0</v>
      </c>
      <c r="F21" s="296">
        <v>0</v>
      </c>
      <c r="G21" s="296">
        <v>0</v>
      </c>
      <c r="H21" s="296">
        <v>0</v>
      </c>
      <c r="I21" s="247">
        <f t="shared" ref="I21" si="5">SUM(C21:H21)</f>
        <v>0</v>
      </c>
      <c r="J21" s="296">
        <v>0</v>
      </c>
      <c r="K21" s="247">
        <f t="shared" si="2"/>
        <v>0</v>
      </c>
    </row>
    <row r="22" spans="2:11" x14ac:dyDescent="0.25">
      <c r="B22" s="294" t="s">
        <v>958</v>
      </c>
      <c r="C22" s="168">
        <f>SUM(C8:C21)</f>
        <v>229155</v>
      </c>
      <c r="D22" s="168">
        <f>SUM(D8:D21)</f>
        <v>9915597</v>
      </c>
      <c r="E22" s="168">
        <f>SUM(E8:E21)</f>
        <v>14156189</v>
      </c>
      <c r="F22" s="168">
        <f t="shared" ref="F22:J22" si="6">SUM(F8:F21)</f>
        <v>0</v>
      </c>
      <c r="G22" s="168">
        <f t="shared" si="6"/>
        <v>-50175</v>
      </c>
      <c r="H22" s="168">
        <f t="shared" si="6"/>
        <v>436791</v>
      </c>
      <c r="I22" s="168">
        <f t="shared" si="6"/>
        <v>24687557</v>
      </c>
      <c r="J22" s="168">
        <f t="shared" si="6"/>
        <v>1133956</v>
      </c>
      <c r="K22" s="168">
        <f>SUM(K8:K21)</f>
        <v>25821513</v>
      </c>
    </row>
    <row r="23" spans="2:11" x14ac:dyDescent="0.25">
      <c r="B23" s="638" t="s">
        <v>778</v>
      </c>
      <c r="C23" s="639"/>
      <c r="D23" s="639"/>
      <c r="E23" s="639"/>
      <c r="F23" s="639"/>
      <c r="G23" s="639"/>
      <c r="H23" s="639"/>
      <c r="I23" s="639"/>
      <c r="J23" s="639"/>
      <c r="K23" s="639"/>
    </row>
    <row r="24" spans="2:11" x14ac:dyDescent="0.25">
      <c r="B24" s="294" t="s">
        <v>779</v>
      </c>
      <c r="C24" s="168">
        <v>229155</v>
      </c>
      <c r="D24" s="168">
        <v>7863733</v>
      </c>
      <c r="E24" s="168">
        <v>9808148</v>
      </c>
      <c r="F24" s="168">
        <v>0</v>
      </c>
      <c r="G24" s="168">
        <v>3557225</v>
      </c>
      <c r="H24" s="168">
        <v>0</v>
      </c>
      <c r="I24" s="168">
        <v>21458261</v>
      </c>
      <c r="J24" s="168">
        <v>1018836</v>
      </c>
      <c r="K24" s="168">
        <f>I24+J24</f>
        <v>22477097</v>
      </c>
    </row>
    <row r="25" spans="2:11" x14ac:dyDescent="0.25">
      <c r="B25" s="295" t="s">
        <v>464</v>
      </c>
      <c r="C25" s="296">
        <v>0</v>
      </c>
      <c r="D25" s="296">
        <v>-35793</v>
      </c>
      <c r="E25" s="296">
        <v>35793</v>
      </c>
      <c r="F25" s="296">
        <v>0</v>
      </c>
      <c r="G25" s="296">
        <v>0</v>
      </c>
      <c r="H25" s="296">
        <v>0</v>
      </c>
      <c r="I25" s="247">
        <v>0</v>
      </c>
      <c r="J25" s="247">
        <v>0</v>
      </c>
      <c r="K25" s="247">
        <v>0</v>
      </c>
    </row>
    <row r="26" spans="2:11" x14ac:dyDescent="0.25">
      <c r="B26" s="295" t="s">
        <v>465</v>
      </c>
      <c r="C26" s="296">
        <v>0</v>
      </c>
      <c r="D26" s="296">
        <v>0</v>
      </c>
      <c r="E26" s="296">
        <v>0</v>
      </c>
      <c r="F26" s="296">
        <v>0</v>
      </c>
      <c r="G26" s="296">
        <v>0</v>
      </c>
      <c r="H26" s="296">
        <v>0</v>
      </c>
      <c r="I26" s="247">
        <v>0</v>
      </c>
      <c r="J26" s="247">
        <v>0</v>
      </c>
      <c r="K26" s="247">
        <v>0</v>
      </c>
    </row>
    <row r="27" spans="2:11" x14ac:dyDescent="0.25">
      <c r="B27" s="297" t="s">
        <v>466</v>
      </c>
      <c r="C27" s="168">
        <f>SUM(C24:C26)</f>
        <v>229155</v>
      </c>
      <c r="D27" s="168">
        <f t="shared" ref="D27:J27" si="7">SUM(D24:D26)</f>
        <v>7827940</v>
      </c>
      <c r="E27" s="168">
        <f t="shared" si="7"/>
        <v>9843941</v>
      </c>
      <c r="F27" s="168">
        <f t="shared" si="7"/>
        <v>0</v>
      </c>
      <c r="G27" s="168">
        <f t="shared" si="7"/>
        <v>3557225</v>
      </c>
      <c r="H27" s="168">
        <f t="shared" si="7"/>
        <v>0</v>
      </c>
      <c r="I27" s="168">
        <f t="shared" si="7"/>
        <v>21458261</v>
      </c>
      <c r="J27" s="168">
        <f t="shared" si="7"/>
        <v>1018836</v>
      </c>
      <c r="K27" s="168">
        <f>I27+J27</f>
        <v>22477097</v>
      </c>
    </row>
    <row r="28" spans="2:11" x14ac:dyDescent="0.25">
      <c r="B28" s="295" t="s">
        <v>147</v>
      </c>
      <c r="C28" s="292">
        <v>0</v>
      </c>
      <c r="D28" s="292">
        <v>0</v>
      </c>
      <c r="E28" s="247">
        <v>0</v>
      </c>
      <c r="F28" s="292">
        <v>0</v>
      </c>
      <c r="G28" s="299">
        <v>0</v>
      </c>
      <c r="H28" s="299">
        <v>0</v>
      </c>
      <c r="I28" s="247">
        <f>SUM(C28:H28)</f>
        <v>0</v>
      </c>
      <c r="J28" s="299">
        <v>0</v>
      </c>
      <c r="K28" s="247">
        <f>I28+J28</f>
        <v>0</v>
      </c>
    </row>
    <row r="29" spans="2:11" x14ac:dyDescent="0.25">
      <c r="B29" s="295" t="s">
        <v>467</v>
      </c>
      <c r="C29" s="292">
        <v>0</v>
      </c>
      <c r="D29" s="292">
        <v>0</v>
      </c>
      <c r="E29" s="292">
        <v>0</v>
      </c>
      <c r="F29" s="292">
        <v>0</v>
      </c>
      <c r="G29" s="299">
        <v>0</v>
      </c>
      <c r="H29" s="299">
        <v>0</v>
      </c>
      <c r="I29" s="247">
        <f t="shared" ref="I29:I36" si="8">SUM(C29:H29)</f>
        <v>0</v>
      </c>
      <c r="J29" s="299">
        <v>0</v>
      </c>
      <c r="K29" s="247">
        <f t="shared" ref="K29:K36" si="9">I29+J29</f>
        <v>0</v>
      </c>
    </row>
    <row r="30" spans="2:11" x14ac:dyDescent="0.25">
      <c r="B30" s="427" t="s">
        <v>665</v>
      </c>
      <c r="C30" s="292">
        <v>0</v>
      </c>
      <c r="D30" s="292">
        <v>20498</v>
      </c>
      <c r="E30" s="292">
        <v>0</v>
      </c>
      <c r="F30" s="292">
        <v>0</v>
      </c>
      <c r="G30" s="299">
        <v>0</v>
      </c>
      <c r="H30" s="299">
        <v>0</v>
      </c>
      <c r="I30" s="247">
        <f t="shared" si="8"/>
        <v>20498</v>
      </c>
      <c r="J30" s="299">
        <v>-22503</v>
      </c>
      <c r="K30" s="247">
        <f t="shared" si="9"/>
        <v>-2005</v>
      </c>
    </row>
    <row r="31" spans="2:11" x14ac:dyDescent="0.25">
      <c r="B31" s="295" t="s">
        <v>7</v>
      </c>
      <c r="C31" s="292">
        <v>0</v>
      </c>
      <c r="D31" s="292">
        <v>3557225</v>
      </c>
      <c r="E31" s="292">
        <v>0</v>
      </c>
      <c r="F31" s="292">
        <v>0</v>
      </c>
      <c r="G31" s="299">
        <v>-3557225</v>
      </c>
      <c r="H31" s="299">
        <v>0</v>
      </c>
      <c r="I31" s="247">
        <f t="shared" si="8"/>
        <v>0</v>
      </c>
      <c r="J31" s="299">
        <v>0</v>
      </c>
      <c r="K31" s="247">
        <f t="shared" si="9"/>
        <v>0</v>
      </c>
    </row>
    <row r="32" spans="2:11" s="17" customFormat="1" ht="13.8" x14ac:dyDescent="0.25">
      <c r="B32" s="295" t="s">
        <v>148</v>
      </c>
      <c r="C32" s="505">
        <v>0</v>
      </c>
      <c r="D32" s="505">
        <v>0</v>
      </c>
      <c r="E32" s="300">
        <v>0</v>
      </c>
      <c r="F32" s="505">
        <v>0</v>
      </c>
      <c r="G32" s="296">
        <v>0</v>
      </c>
      <c r="H32" s="296">
        <v>0</v>
      </c>
      <c r="I32" s="247">
        <f t="shared" si="8"/>
        <v>0</v>
      </c>
      <c r="J32" s="247">
        <v>-160000</v>
      </c>
      <c r="K32" s="247">
        <f t="shared" si="9"/>
        <v>-160000</v>
      </c>
    </row>
    <row r="33" spans="2:11" s="17" customFormat="1" ht="13.8" x14ac:dyDescent="0.25">
      <c r="B33" s="427" t="s">
        <v>740</v>
      </c>
      <c r="C33" s="505">
        <v>0</v>
      </c>
      <c r="D33" s="505">
        <v>0</v>
      </c>
      <c r="E33" s="300">
        <v>0</v>
      </c>
      <c r="F33" s="505">
        <v>0</v>
      </c>
      <c r="G33" s="247">
        <v>0</v>
      </c>
      <c r="H33" s="296">
        <v>0</v>
      </c>
      <c r="I33" s="247">
        <f t="shared" si="8"/>
        <v>0</v>
      </c>
      <c r="J33" s="247">
        <v>0</v>
      </c>
      <c r="K33" s="247">
        <f t="shared" si="9"/>
        <v>0</v>
      </c>
    </row>
    <row r="34" spans="2:11" s="17" customFormat="1" ht="13.8" x14ac:dyDescent="0.25">
      <c r="B34" s="427" t="s">
        <v>780</v>
      </c>
      <c r="C34" s="247">
        <v>0</v>
      </c>
      <c r="D34" s="247">
        <v>0</v>
      </c>
      <c r="E34" s="296">
        <v>0</v>
      </c>
      <c r="F34" s="296">
        <v>0</v>
      </c>
      <c r="G34" s="296">
        <v>0</v>
      </c>
      <c r="H34" s="296">
        <v>2419691</v>
      </c>
      <c r="I34" s="247">
        <f t="shared" si="8"/>
        <v>2419691</v>
      </c>
      <c r="J34" s="247">
        <v>0</v>
      </c>
      <c r="K34" s="247">
        <f t="shared" si="9"/>
        <v>2419691</v>
      </c>
    </row>
    <row r="35" spans="2:11" s="17" customFormat="1" ht="13.8" x14ac:dyDescent="0.25">
      <c r="B35" s="427" t="s">
        <v>733</v>
      </c>
      <c r="C35" s="247">
        <v>0</v>
      </c>
      <c r="D35" s="247">
        <v>0</v>
      </c>
      <c r="E35" s="296">
        <v>0</v>
      </c>
      <c r="F35" s="296">
        <v>0</v>
      </c>
      <c r="G35" s="296">
        <v>0</v>
      </c>
      <c r="H35" s="296">
        <v>0</v>
      </c>
      <c r="I35" s="247">
        <f t="shared" si="8"/>
        <v>0</v>
      </c>
      <c r="J35" s="247">
        <v>411959</v>
      </c>
      <c r="K35" s="247">
        <f t="shared" si="9"/>
        <v>411959</v>
      </c>
    </row>
    <row r="36" spans="2:11" s="17" customFormat="1" ht="13.8" x14ac:dyDescent="0.25">
      <c r="B36" s="427" t="s">
        <v>814</v>
      </c>
      <c r="C36" s="247">
        <v>0</v>
      </c>
      <c r="D36" s="247">
        <v>0</v>
      </c>
      <c r="E36" s="296">
        <v>0</v>
      </c>
      <c r="F36" s="296">
        <v>0</v>
      </c>
      <c r="G36" s="296">
        <v>0</v>
      </c>
      <c r="H36" s="296">
        <v>0</v>
      </c>
      <c r="I36" s="247">
        <f t="shared" si="8"/>
        <v>0</v>
      </c>
      <c r="J36" s="247">
        <v>0</v>
      </c>
      <c r="K36" s="247">
        <f t="shared" si="9"/>
        <v>0</v>
      </c>
    </row>
    <row r="37" spans="2:11" x14ac:dyDescent="0.25">
      <c r="B37" s="294" t="s">
        <v>781</v>
      </c>
      <c r="C37" s="168">
        <f>SUM(C27:C36)</f>
        <v>229155</v>
      </c>
      <c r="D37" s="168">
        <f>SUM(D27:D36)</f>
        <v>11405663</v>
      </c>
      <c r="E37" s="168">
        <f>SUM(E27:E36)</f>
        <v>9843941</v>
      </c>
      <c r="F37" s="168">
        <f t="shared" ref="F37:H37" si="10">SUM(F27:F36)</f>
        <v>0</v>
      </c>
      <c r="G37" s="168">
        <f t="shared" si="10"/>
        <v>0</v>
      </c>
      <c r="H37" s="168">
        <f t="shared" si="10"/>
        <v>2419691</v>
      </c>
      <c r="I37" s="168">
        <f>SUM(I27:I36)</f>
        <v>23898450</v>
      </c>
      <c r="J37" s="168">
        <f>SUM(J27:J36)</f>
        <v>1248292</v>
      </c>
      <c r="K37" s="168">
        <f>I37+J37</f>
        <v>25146742</v>
      </c>
    </row>
  </sheetData>
  <mergeCells count="2">
    <mergeCell ref="B4:K4"/>
    <mergeCell ref="B23:K23"/>
  </mergeCells>
  <phoneticPr fontId="28" type="noConversion"/>
  <pageMargins left="0.7" right="0.7" top="0.75" bottom="0.75" header="0.3" footer="0.3"/>
  <pageSetup paperSize="9" scale="72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00B0F0"/>
    <pageSetUpPr fitToPage="1"/>
  </sheetPr>
  <dimension ref="A1:G70"/>
  <sheetViews>
    <sheetView showGridLines="0" view="pageBreakPreview" topLeftCell="A19" zoomScaleNormal="75" zoomScaleSheetLayoutView="80" workbookViewId="0">
      <selection activeCell="E3" sqref="E3:G3"/>
    </sheetView>
  </sheetViews>
  <sheetFormatPr defaultColWidth="9.21875" defaultRowHeight="13.2" x14ac:dyDescent="0.25"/>
  <cols>
    <col min="1" max="1" width="3.44140625" style="14" customWidth="1"/>
    <col min="2" max="2" width="71.21875" style="14" bestFit="1" customWidth="1"/>
    <col min="3" max="4" width="17.21875" style="334" bestFit="1" customWidth="1"/>
    <col min="5" max="16384" width="9.21875" style="14"/>
  </cols>
  <sheetData>
    <row r="1" spans="1:7" x14ac:dyDescent="0.25">
      <c r="B1" s="39"/>
    </row>
    <row r="2" spans="1:7" ht="16.8" x14ac:dyDescent="0.25">
      <c r="B2" s="203" t="s">
        <v>127</v>
      </c>
      <c r="C2" s="335"/>
      <c r="D2" s="335"/>
    </row>
    <row r="3" spans="1:7" s="15" customFormat="1" ht="20.399999999999999" x14ac:dyDescent="0.25">
      <c r="A3" s="18"/>
      <c r="B3" s="192"/>
      <c r="C3" s="336" t="str">
        <f>CONCATENATE("za okres ",'Dane podstawowe'!$B$7)</f>
        <v>za okres 01.01.2018-31.12.2018</v>
      </c>
      <c r="D3" s="336" t="str">
        <f>CONCATENATE("za okres ",'Dane podstawowe'!$B$12)</f>
        <v>za okres 01.01.2017-31.12.2017</v>
      </c>
      <c r="E3" s="18"/>
      <c r="F3" s="18"/>
      <c r="G3" s="18"/>
    </row>
    <row r="4" spans="1:7" s="18" customFormat="1" x14ac:dyDescent="0.25">
      <c r="B4" s="640" t="s">
        <v>384</v>
      </c>
      <c r="C4" s="640"/>
      <c r="D4" s="640"/>
    </row>
    <row r="5" spans="1:7" s="17" customFormat="1" ht="13.8" x14ac:dyDescent="0.25">
      <c r="B5" s="301" t="s">
        <v>934</v>
      </c>
      <c r="C5" s="287">
        <f>RZiS!D26</f>
        <v>1479472</v>
      </c>
      <c r="D5" s="287">
        <f>RZiS!E26</f>
        <v>4197017</v>
      </c>
    </row>
    <row r="6" spans="1:7" s="18" customFormat="1" x14ac:dyDescent="0.25">
      <c r="B6" s="301" t="s">
        <v>385</v>
      </c>
      <c r="C6" s="289">
        <f>SUM(C7:C18)</f>
        <v>4206815</v>
      </c>
      <c r="D6" s="289">
        <f>SUM(D7:D18)</f>
        <v>445802</v>
      </c>
    </row>
    <row r="7" spans="1:7" s="18" customFormat="1" x14ac:dyDescent="0.25">
      <c r="B7" s="302" t="s">
        <v>468</v>
      </c>
      <c r="C7" s="421">
        <v>0</v>
      </c>
      <c r="D7" s="421">
        <v>0</v>
      </c>
    </row>
    <row r="8" spans="1:7" s="18" customFormat="1" x14ac:dyDescent="0.25">
      <c r="B8" s="607" t="s">
        <v>32</v>
      </c>
      <c r="C8" s="421">
        <v>2486849</v>
      </c>
      <c r="D8" s="421">
        <v>1380582</v>
      </c>
    </row>
    <row r="9" spans="1:7" s="18" customFormat="1" x14ac:dyDescent="0.25">
      <c r="B9" s="607" t="s">
        <v>386</v>
      </c>
      <c r="C9" s="421">
        <v>-247</v>
      </c>
      <c r="D9" s="421">
        <v>-853</v>
      </c>
    </row>
    <row r="10" spans="1:7" s="17" customFormat="1" ht="13.8" x14ac:dyDescent="0.25">
      <c r="B10" s="607" t="s">
        <v>387</v>
      </c>
      <c r="C10" s="292">
        <v>-17164</v>
      </c>
      <c r="D10" s="292">
        <v>-14231</v>
      </c>
    </row>
    <row r="11" spans="1:7" s="18" customFormat="1" x14ac:dyDescent="0.25">
      <c r="B11" s="607" t="s">
        <v>388</v>
      </c>
      <c r="C11" s="421">
        <v>348728</v>
      </c>
      <c r="D11" s="421">
        <v>0</v>
      </c>
    </row>
    <row r="12" spans="1:7" s="18" customFormat="1" x14ac:dyDescent="0.25">
      <c r="B12" s="607" t="s">
        <v>389</v>
      </c>
      <c r="C12" s="421">
        <f>383253-432896</f>
        <v>-49643</v>
      </c>
      <c r="D12" s="421">
        <v>188065</v>
      </c>
    </row>
    <row r="13" spans="1:7" s="18" customFormat="1" x14ac:dyDescent="0.25">
      <c r="B13" s="607" t="s">
        <v>935</v>
      </c>
      <c r="C13" s="292">
        <v>-74920</v>
      </c>
      <c r="D13" s="292">
        <v>0</v>
      </c>
    </row>
    <row r="14" spans="1:7" s="18" customFormat="1" x14ac:dyDescent="0.25">
      <c r="B14" s="607" t="s">
        <v>936</v>
      </c>
      <c r="C14" s="421">
        <f>-750387+150829</f>
        <v>-599558</v>
      </c>
      <c r="D14" s="421">
        <v>-1072838</v>
      </c>
    </row>
    <row r="15" spans="1:7" s="16" customFormat="1" ht="20.399999999999999" x14ac:dyDescent="0.25">
      <c r="B15" s="607" t="s">
        <v>937</v>
      </c>
      <c r="C15" s="292">
        <v>2570729</v>
      </c>
      <c r="D15" s="292">
        <v>2092794</v>
      </c>
    </row>
    <row r="16" spans="1:7" s="18" customFormat="1" x14ac:dyDescent="0.25">
      <c r="B16" s="607" t="s">
        <v>938</v>
      </c>
      <c r="C16" s="421">
        <f>114213+63246</f>
        <v>177459</v>
      </c>
      <c r="D16" s="421">
        <v>-926985</v>
      </c>
    </row>
    <row r="17" spans="2:4" s="18" customFormat="1" x14ac:dyDescent="0.25">
      <c r="B17" s="607" t="s">
        <v>939</v>
      </c>
      <c r="C17" s="421">
        <v>108237</v>
      </c>
      <c r="D17" s="421">
        <v>164635</v>
      </c>
    </row>
    <row r="18" spans="2:4" s="18" customFormat="1" x14ac:dyDescent="0.25">
      <c r="B18" s="430" t="s">
        <v>940</v>
      </c>
      <c r="C18" s="421">
        <v>-743655</v>
      </c>
      <c r="D18" s="421">
        <v>-1365367</v>
      </c>
    </row>
    <row r="19" spans="2:4" s="18" customFormat="1" x14ac:dyDescent="0.25">
      <c r="B19" s="301" t="s">
        <v>390</v>
      </c>
      <c r="C19" s="287">
        <f>SUM(C5:C6)</f>
        <v>5686287</v>
      </c>
      <c r="D19" s="287">
        <f>SUM(D5:D6)</f>
        <v>4642819</v>
      </c>
    </row>
    <row r="20" spans="2:4" s="18" customFormat="1" hidden="1" x14ac:dyDescent="0.25">
      <c r="B20" s="430" t="s">
        <v>391</v>
      </c>
      <c r="C20" s="292"/>
      <c r="D20" s="292"/>
    </row>
    <row r="21" spans="2:4" s="18" customFormat="1" hidden="1" x14ac:dyDescent="0.25">
      <c r="B21" s="430" t="s">
        <v>668</v>
      </c>
      <c r="C21" s="292">
        <v>0</v>
      </c>
      <c r="D21" s="292">
        <v>0</v>
      </c>
    </row>
    <row r="22" spans="2:4" s="18" customFormat="1" x14ac:dyDescent="0.25">
      <c r="B22" s="303" t="s">
        <v>316</v>
      </c>
      <c r="C22" s="287">
        <f>SUM(C19,C20)</f>
        <v>5686287</v>
      </c>
      <c r="D22" s="287">
        <f>SUM(D19,D20)</f>
        <v>4642819</v>
      </c>
    </row>
    <row r="23" spans="2:4" s="18" customFormat="1" x14ac:dyDescent="0.25">
      <c r="B23" s="450" t="s">
        <v>393</v>
      </c>
      <c r="C23" s="450"/>
      <c r="D23" s="450"/>
    </row>
    <row r="24" spans="2:4" s="18" customFormat="1" x14ac:dyDescent="0.25">
      <c r="B24" s="304" t="s">
        <v>403</v>
      </c>
      <c r="C24" s="298">
        <f>SUM(C25:C29)</f>
        <v>404853</v>
      </c>
      <c r="D24" s="298">
        <f>SUM(D25:D29)</f>
        <v>4500</v>
      </c>
    </row>
    <row r="25" spans="2:4" s="18" customFormat="1" x14ac:dyDescent="0.25">
      <c r="B25" s="607" t="s">
        <v>941</v>
      </c>
      <c r="C25" s="421">
        <v>39004</v>
      </c>
      <c r="D25" s="421">
        <v>4500</v>
      </c>
    </row>
    <row r="26" spans="2:4" s="18" customFormat="1" x14ac:dyDescent="0.25">
      <c r="B26" s="607" t="s">
        <v>942</v>
      </c>
      <c r="C26" s="421">
        <v>0</v>
      </c>
      <c r="D26" s="421">
        <v>0</v>
      </c>
    </row>
    <row r="27" spans="2:4" s="18" customFormat="1" x14ac:dyDescent="0.25">
      <c r="B27" s="607" t="s">
        <v>943</v>
      </c>
      <c r="C27" s="421">
        <v>0</v>
      </c>
      <c r="D27" s="421">
        <v>0</v>
      </c>
    </row>
    <row r="28" spans="2:4" s="18" customFormat="1" x14ac:dyDescent="0.25">
      <c r="B28" s="607" t="s">
        <v>275</v>
      </c>
      <c r="C28" s="292">
        <v>0</v>
      </c>
      <c r="D28" s="292">
        <v>0</v>
      </c>
    </row>
    <row r="29" spans="2:4" s="18" customFormat="1" x14ac:dyDescent="0.25">
      <c r="B29" s="607" t="s">
        <v>944</v>
      </c>
      <c r="C29" s="421">
        <v>365849</v>
      </c>
      <c r="D29" s="421">
        <v>0</v>
      </c>
    </row>
    <row r="30" spans="2:4" s="18" customFormat="1" x14ac:dyDescent="0.25">
      <c r="B30" s="301" t="s">
        <v>404</v>
      </c>
      <c r="C30" s="287">
        <f>SUM(C31:C34)</f>
        <v>9920544</v>
      </c>
      <c r="D30" s="287">
        <f>SUM(D31:D34)</f>
        <v>3824597</v>
      </c>
    </row>
    <row r="31" spans="2:4" s="18" customFormat="1" x14ac:dyDescent="0.25">
      <c r="B31" s="607" t="s">
        <v>945</v>
      </c>
      <c r="C31" s="292">
        <v>4753278</v>
      </c>
      <c r="D31" s="292">
        <v>2649086</v>
      </c>
    </row>
    <row r="32" spans="2:4" s="28" customFormat="1" ht="11.4" x14ac:dyDescent="0.25">
      <c r="B32" s="607" t="s">
        <v>946</v>
      </c>
      <c r="C32" s="421">
        <v>0</v>
      </c>
      <c r="D32" s="421">
        <v>0</v>
      </c>
    </row>
    <row r="33" spans="2:7" s="16" customFormat="1" ht="13.8" x14ac:dyDescent="0.25">
      <c r="B33" s="607" t="s">
        <v>947</v>
      </c>
      <c r="C33" s="292">
        <v>5119375</v>
      </c>
      <c r="D33" s="292">
        <v>1175511</v>
      </c>
    </row>
    <row r="34" spans="2:7" s="16" customFormat="1" ht="13.8" x14ac:dyDescent="0.25">
      <c r="B34" s="607" t="s">
        <v>948</v>
      </c>
      <c r="C34" s="292">
        <v>47891</v>
      </c>
      <c r="D34" s="292">
        <v>0</v>
      </c>
    </row>
    <row r="35" spans="2:7" s="18" customFormat="1" x14ac:dyDescent="0.25">
      <c r="B35" s="303" t="s">
        <v>317</v>
      </c>
      <c r="C35" s="287">
        <f>C24-C30</f>
        <v>-9515691</v>
      </c>
      <c r="D35" s="287">
        <f>D24-D30</f>
        <v>-3820097</v>
      </c>
    </row>
    <row r="36" spans="2:7" s="15" customFormat="1" x14ac:dyDescent="0.25">
      <c r="B36" s="450" t="s">
        <v>396</v>
      </c>
      <c r="C36" s="450"/>
      <c r="D36" s="450"/>
      <c r="E36" s="18"/>
      <c r="F36" s="18"/>
      <c r="G36" s="18"/>
    </row>
    <row r="37" spans="2:7" s="29" customFormat="1" x14ac:dyDescent="0.25">
      <c r="B37" s="304" t="s">
        <v>403</v>
      </c>
      <c r="C37" s="305">
        <f>SUM(C38:C41)</f>
        <v>1390872</v>
      </c>
      <c r="D37" s="305">
        <f>SUM(D38:D41)</f>
        <v>0</v>
      </c>
    </row>
    <row r="38" spans="2:7" s="18" customFormat="1" x14ac:dyDescent="0.25">
      <c r="B38" s="607" t="s">
        <v>949</v>
      </c>
      <c r="C38" s="431">
        <v>0</v>
      </c>
      <c r="D38" s="431">
        <v>0</v>
      </c>
    </row>
    <row r="39" spans="2:7" s="18" customFormat="1" x14ac:dyDescent="0.25">
      <c r="B39" s="607" t="s">
        <v>950</v>
      </c>
      <c r="C39" s="431">
        <v>1390872</v>
      </c>
      <c r="D39" s="431">
        <v>0</v>
      </c>
    </row>
    <row r="40" spans="2:7" s="18" customFormat="1" x14ac:dyDescent="0.25">
      <c r="B40" s="607" t="s">
        <v>578</v>
      </c>
      <c r="C40" s="431">
        <v>0</v>
      </c>
      <c r="D40" s="431">
        <v>0</v>
      </c>
    </row>
    <row r="41" spans="2:7" s="18" customFormat="1" hidden="1" x14ac:dyDescent="0.25">
      <c r="B41" s="302" t="s">
        <v>397</v>
      </c>
      <c r="C41" s="431">
        <v>0</v>
      </c>
      <c r="D41" s="431">
        <v>0</v>
      </c>
    </row>
    <row r="42" spans="2:7" s="18" customFormat="1" x14ac:dyDescent="0.25">
      <c r="B42" s="301" t="s">
        <v>404</v>
      </c>
      <c r="C42" s="306">
        <f>SUM(C43:C51)</f>
        <v>98196</v>
      </c>
      <c r="D42" s="306">
        <f>SUM(D43:D51)</f>
        <v>243230</v>
      </c>
    </row>
    <row r="43" spans="2:7" s="18" customFormat="1" x14ac:dyDescent="0.25">
      <c r="B43" s="302" t="s">
        <v>398</v>
      </c>
      <c r="C43" s="431">
        <v>0</v>
      </c>
      <c r="D43" s="431">
        <v>0</v>
      </c>
    </row>
    <row r="44" spans="2:7" s="18" customFormat="1" x14ac:dyDescent="0.25">
      <c r="B44" s="430" t="s">
        <v>951</v>
      </c>
      <c r="C44" s="431">
        <v>0</v>
      </c>
      <c r="D44" s="431">
        <v>159950</v>
      </c>
    </row>
    <row r="45" spans="2:7" s="18" customFormat="1" x14ac:dyDescent="0.25">
      <c r="B45" s="302" t="s">
        <v>149</v>
      </c>
      <c r="C45" s="431">
        <v>0</v>
      </c>
      <c r="D45" s="431">
        <v>0</v>
      </c>
    </row>
    <row r="46" spans="2:7" s="18" customFormat="1" x14ac:dyDescent="0.25">
      <c r="B46" s="430" t="s">
        <v>952</v>
      </c>
      <c r="C46" s="431">
        <v>0</v>
      </c>
      <c r="D46" s="431">
        <v>33752</v>
      </c>
    </row>
    <row r="47" spans="2:7" s="16" customFormat="1" ht="13.8" x14ac:dyDescent="0.25">
      <c r="B47" s="302" t="s">
        <v>399</v>
      </c>
      <c r="C47" s="432">
        <v>0</v>
      </c>
      <c r="D47" s="432">
        <v>0</v>
      </c>
    </row>
    <row r="48" spans="2:7" s="18" customFormat="1" x14ac:dyDescent="0.25">
      <c r="B48" s="302" t="s">
        <v>400</v>
      </c>
      <c r="C48" s="431">
        <v>0</v>
      </c>
      <c r="D48" s="431">
        <v>0</v>
      </c>
    </row>
    <row r="49" spans="2:4" s="18" customFormat="1" x14ac:dyDescent="0.25">
      <c r="B49" s="430" t="s">
        <v>953</v>
      </c>
      <c r="C49" s="431">
        <v>91603</v>
      </c>
      <c r="D49" s="431">
        <v>45868</v>
      </c>
    </row>
    <row r="50" spans="2:4" s="18" customFormat="1" x14ac:dyDescent="0.25">
      <c r="B50" s="430" t="s">
        <v>954</v>
      </c>
      <c r="C50" s="432">
        <v>6593</v>
      </c>
      <c r="D50" s="432">
        <v>3660</v>
      </c>
    </row>
    <row r="51" spans="2:4" s="18" customFormat="1" x14ac:dyDescent="0.25">
      <c r="B51" s="430" t="s">
        <v>578</v>
      </c>
      <c r="C51" s="432">
        <v>0</v>
      </c>
      <c r="D51" s="432">
        <v>0</v>
      </c>
    </row>
    <row r="52" spans="2:4" s="18" customFormat="1" x14ac:dyDescent="0.25">
      <c r="B52" s="303" t="s">
        <v>318</v>
      </c>
      <c r="C52" s="287">
        <f>C37-C42</f>
        <v>1292676</v>
      </c>
      <c r="D52" s="287">
        <f>D37-D42</f>
        <v>-243230</v>
      </c>
    </row>
    <row r="53" spans="2:4" s="18" customFormat="1" x14ac:dyDescent="0.25">
      <c r="B53" s="307" t="s">
        <v>319</v>
      </c>
      <c r="C53" s="298">
        <f>C22+C35+C52</f>
        <v>-2536728</v>
      </c>
      <c r="D53" s="298">
        <f>D22+D35+D52</f>
        <v>579492</v>
      </c>
    </row>
    <row r="54" spans="2:4" s="18" customFormat="1" x14ac:dyDescent="0.25">
      <c r="B54" s="307" t="s">
        <v>320</v>
      </c>
      <c r="C54" s="289">
        <f>C57-C56</f>
        <v>-2536728</v>
      </c>
      <c r="D54" s="289">
        <f>D57-D56</f>
        <v>579492</v>
      </c>
    </row>
    <row r="55" spans="2:4" s="18" customFormat="1" x14ac:dyDescent="0.25">
      <c r="B55" s="308" t="s">
        <v>402</v>
      </c>
      <c r="C55" s="421">
        <v>247</v>
      </c>
      <c r="D55" s="421">
        <v>853</v>
      </c>
    </row>
    <row r="56" spans="2:4" s="18" customFormat="1" x14ac:dyDescent="0.25">
      <c r="B56" s="307" t="s">
        <v>321</v>
      </c>
      <c r="C56" s="289">
        <v>4803839</v>
      </c>
      <c r="D56" s="289">
        <v>4224347</v>
      </c>
    </row>
    <row r="57" spans="2:4" s="18" customFormat="1" x14ac:dyDescent="0.25">
      <c r="B57" s="307" t="s">
        <v>291</v>
      </c>
      <c r="C57" s="287">
        <f>C53+C56</f>
        <v>2267111</v>
      </c>
      <c r="D57" s="287">
        <f>D53+D56</f>
        <v>4803839</v>
      </c>
    </row>
    <row r="58" spans="2:4" s="21" customFormat="1" x14ac:dyDescent="0.25">
      <c r="B58" s="19"/>
      <c r="C58" s="337"/>
      <c r="D58" s="338"/>
    </row>
    <row r="59" spans="2:4" s="21" customFormat="1" x14ac:dyDescent="0.25">
      <c r="B59" s="19"/>
      <c r="C59" s="337"/>
      <c r="D59" s="338"/>
    </row>
    <row r="60" spans="2:4" s="21" customFormat="1" x14ac:dyDescent="0.25">
      <c r="B60" s="19"/>
      <c r="C60" s="339"/>
      <c r="D60" s="338"/>
    </row>
    <row r="61" spans="2:4" s="21" customFormat="1" x14ac:dyDescent="0.25">
      <c r="B61" s="19"/>
      <c r="C61" s="337"/>
      <c r="D61" s="338"/>
    </row>
    <row r="62" spans="2:4" s="21" customFormat="1" x14ac:dyDescent="0.25">
      <c r="B62" s="19"/>
      <c r="C62" s="337"/>
      <c r="D62" s="338"/>
    </row>
    <row r="63" spans="2:4" s="21" customFormat="1" x14ac:dyDescent="0.25">
      <c r="B63" s="19"/>
      <c r="C63" s="339"/>
      <c r="D63" s="338"/>
    </row>
    <row r="64" spans="2:4" s="21" customFormat="1" ht="11.4" x14ac:dyDescent="0.2">
      <c r="B64" s="19"/>
      <c r="C64" s="338"/>
      <c r="D64" s="338"/>
    </row>
    <row r="65" spans="2:4" s="21" customFormat="1" ht="11.4" x14ac:dyDescent="0.2">
      <c r="B65" s="19"/>
      <c r="C65" s="338"/>
      <c r="D65" s="338"/>
    </row>
    <row r="66" spans="2:4" s="21" customFormat="1" ht="13.8" x14ac:dyDescent="0.25">
      <c r="B66" s="26"/>
      <c r="C66" s="338"/>
      <c r="D66" s="338"/>
    </row>
    <row r="67" spans="2:4" s="21" customFormat="1" ht="11.4" x14ac:dyDescent="0.2">
      <c r="B67" s="19"/>
      <c r="C67" s="338"/>
      <c r="D67" s="338"/>
    </row>
    <row r="68" spans="2:4" s="21" customFormat="1" ht="13.8" x14ac:dyDescent="0.25">
      <c r="B68" s="26"/>
      <c r="C68" s="338"/>
      <c r="D68" s="338"/>
    </row>
    <row r="69" spans="2:4" s="21" customFormat="1" ht="11.4" x14ac:dyDescent="0.2">
      <c r="B69" s="19"/>
      <c r="C69" s="338"/>
      <c r="D69" s="338"/>
    </row>
    <row r="70" spans="2:4" s="21" customFormat="1" ht="11.4" x14ac:dyDescent="0.2">
      <c r="B70" s="19"/>
      <c r="C70" s="338"/>
      <c r="D70" s="338"/>
    </row>
  </sheetData>
  <mergeCells count="1">
    <mergeCell ref="B4:D4"/>
  </mergeCells>
  <phoneticPr fontId="28" type="noConversion"/>
  <pageMargins left="0.7" right="0.7" top="0.75" bottom="0.75" header="0.3" footer="0.3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8">
    <pageSetUpPr fitToPage="1"/>
  </sheetPr>
  <dimension ref="B3:U120"/>
  <sheetViews>
    <sheetView showGridLines="0" view="pageBreakPreview" topLeftCell="A103" zoomScaleNormal="100" zoomScaleSheetLayoutView="100" workbookViewId="0">
      <selection activeCell="I111" sqref="I111"/>
    </sheetView>
  </sheetViews>
  <sheetFormatPr defaultColWidth="9.21875" defaultRowHeight="10.199999999999999" x14ac:dyDescent="0.2"/>
  <cols>
    <col min="1" max="1" width="2.21875" style="44" customWidth="1"/>
    <col min="2" max="2" width="40.21875" style="44" customWidth="1"/>
    <col min="3" max="3" width="19.21875" style="44" customWidth="1"/>
    <col min="4" max="4" width="19.44140625" style="44" customWidth="1"/>
    <col min="5" max="5" width="18.5546875" style="44" customWidth="1"/>
    <col min="6" max="6" width="20.44140625" style="44" customWidth="1"/>
    <col min="7" max="7" width="18.77734375" style="44" customWidth="1"/>
    <col min="8" max="9" width="11.5546875" style="44" customWidth="1"/>
    <col min="10" max="10" width="12.44140625" style="44" customWidth="1"/>
    <col min="11" max="11" width="13.21875" style="44" customWidth="1"/>
    <col min="12" max="12" width="13.5546875" style="44" customWidth="1"/>
    <col min="13" max="13" width="13.77734375" style="44" bestFit="1" customWidth="1"/>
    <col min="14" max="14" width="14.21875" style="44" customWidth="1"/>
    <col min="15" max="16384" width="9.21875" style="44"/>
  </cols>
  <sheetData>
    <row r="3" spans="2:4" ht="13.2" x14ac:dyDescent="0.25">
      <c r="B3" s="412" t="s">
        <v>618</v>
      </c>
      <c r="C3"/>
      <c r="D3"/>
    </row>
    <row r="4" spans="2:4" ht="13.2" x14ac:dyDescent="0.25">
      <c r="B4" s="514"/>
      <c r="C4"/>
      <c r="D4"/>
    </row>
    <row r="5" spans="2:4" x14ac:dyDescent="0.2">
      <c r="B5" s="103" t="s">
        <v>353</v>
      </c>
      <c r="C5" s="111" t="s">
        <v>832</v>
      </c>
      <c r="D5" s="111" t="s">
        <v>775</v>
      </c>
    </row>
    <row r="6" spans="2:4" ht="15" customHeight="1" x14ac:dyDescent="0.2">
      <c r="B6" s="139" t="s">
        <v>8</v>
      </c>
      <c r="C6" s="410"/>
      <c r="D6" s="410"/>
    </row>
    <row r="7" spans="2:4" ht="15" customHeight="1" x14ac:dyDescent="0.2">
      <c r="B7" s="113" t="s">
        <v>150</v>
      </c>
      <c r="C7" s="78">
        <v>39023</v>
      </c>
      <c r="D7" s="78">
        <v>0</v>
      </c>
    </row>
    <row r="8" spans="2:4" ht="15" customHeight="1" x14ac:dyDescent="0.2">
      <c r="B8" s="113" t="s">
        <v>151</v>
      </c>
      <c r="C8" s="78">
        <v>0</v>
      </c>
      <c r="D8" s="78">
        <v>0</v>
      </c>
    </row>
    <row r="9" spans="2:4" ht="15" customHeight="1" x14ac:dyDescent="0.2">
      <c r="B9" s="113" t="s">
        <v>152</v>
      </c>
      <c r="C9" s="78">
        <v>48295004</v>
      </c>
      <c r="D9" s="78">
        <v>45965990</v>
      </c>
    </row>
    <row r="10" spans="2:4" ht="15" customHeight="1" x14ac:dyDescent="0.2">
      <c r="B10" s="40" t="s">
        <v>153</v>
      </c>
      <c r="C10" s="45">
        <v>48334027</v>
      </c>
      <c r="D10" s="45">
        <f>SUM(D7:D9)</f>
        <v>45965990</v>
      </c>
    </row>
    <row r="11" spans="2:4" ht="15" customHeight="1" x14ac:dyDescent="0.2">
      <c r="B11" s="113" t="s">
        <v>379</v>
      </c>
      <c r="C11" s="78">
        <v>107739</v>
      </c>
      <c r="D11" s="78">
        <v>229327</v>
      </c>
    </row>
    <row r="12" spans="2:4" ht="15" customHeight="1" x14ac:dyDescent="0.2">
      <c r="B12" s="113" t="s">
        <v>352</v>
      </c>
      <c r="C12" s="78">
        <v>52529</v>
      </c>
      <c r="D12" s="78">
        <v>82205</v>
      </c>
    </row>
    <row r="13" spans="2:4" ht="20.399999999999999" x14ac:dyDescent="0.2">
      <c r="B13" s="50" t="s">
        <v>233</v>
      </c>
      <c r="C13" s="45">
        <f>SUM(C10:C12)</f>
        <v>48494295</v>
      </c>
      <c r="D13" s="45">
        <f>SUM(D10:D12)</f>
        <v>46277522</v>
      </c>
    </row>
    <row r="14" spans="2:4" x14ac:dyDescent="0.2">
      <c r="B14" s="40" t="s">
        <v>823</v>
      </c>
      <c r="C14" s="45">
        <v>0</v>
      </c>
      <c r="D14" s="45">
        <v>0</v>
      </c>
    </row>
    <row r="15" spans="2:4" ht="12.75" customHeight="1" x14ac:dyDescent="0.2">
      <c r="B15" s="40" t="s">
        <v>234</v>
      </c>
      <c r="C15" s="45">
        <f>C13+C14</f>
        <v>48494295</v>
      </c>
      <c r="D15" s="45">
        <f>D13+D14</f>
        <v>46277522</v>
      </c>
    </row>
    <row r="16" spans="2:4" ht="12.75" customHeight="1" x14ac:dyDescent="0.2">
      <c r="B16" s="54"/>
      <c r="C16" s="309">
        <f>C15-RZiS!D3-RZiS!D18-RZiS!D22</f>
        <v>0</v>
      </c>
      <c r="D16" s="309">
        <f>D15-RZiS!E3-RZiS!E18-RZiS!E22</f>
        <v>0</v>
      </c>
    </row>
    <row r="17" spans="2:21" ht="12.75" customHeight="1" x14ac:dyDescent="0.2">
      <c r="B17" s="3"/>
    </row>
    <row r="18" spans="2:21" ht="12.75" customHeight="1" x14ac:dyDescent="0.2">
      <c r="B18" s="3"/>
    </row>
    <row r="19" spans="2:21" ht="13.2" x14ac:dyDescent="0.25">
      <c r="B19" s="412" t="s">
        <v>619</v>
      </c>
      <c r="C19"/>
      <c r="D19"/>
      <c r="E19"/>
      <c r="F19"/>
      <c r="G19"/>
      <c r="H19"/>
      <c r="I19"/>
      <c r="J19"/>
      <c r="K19"/>
      <c r="L19"/>
      <c r="M19"/>
    </row>
    <row r="20" spans="2:21" ht="15" customHeight="1" x14ac:dyDescent="0.2">
      <c r="B20" s="54" t="s">
        <v>849</v>
      </c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</row>
    <row r="21" spans="2:21" s="408" customFormat="1" ht="15" customHeight="1" x14ac:dyDescent="0.25">
      <c r="B21" s="644" t="s">
        <v>850</v>
      </c>
      <c r="C21" s="644"/>
      <c r="D21" s="644" t="s">
        <v>8</v>
      </c>
      <c r="E21" s="644"/>
      <c r="F21" s="644"/>
      <c r="G21" s="644"/>
      <c r="H21" s="644"/>
      <c r="I21" s="409"/>
      <c r="J21" s="644" t="s">
        <v>593</v>
      </c>
      <c r="K21" s="642" t="s">
        <v>617</v>
      </c>
      <c r="L21" s="642" t="s">
        <v>616</v>
      </c>
      <c r="M21" s="644" t="s">
        <v>417</v>
      </c>
    </row>
    <row r="22" spans="2:21" s="408" customFormat="1" ht="36" customHeight="1" x14ac:dyDescent="0.25">
      <c r="B22" s="644"/>
      <c r="C22" s="644"/>
      <c r="D22" s="409" t="s">
        <v>702</v>
      </c>
      <c r="E22" s="409" t="s">
        <v>875</v>
      </c>
      <c r="F22" s="409" t="s">
        <v>876</v>
      </c>
      <c r="G22" s="409" t="s">
        <v>877</v>
      </c>
      <c r="H22" s="409" t="s">
        <v>878</v>
      </c>
      <c r="I22" s="409" t="s">
        <v>879</v>
      </c>
      <c r="J22" s="644"/>
      <c r="K22" s="643"/>
      <c r="L22" s="643"/>
      <c r="M22" s="644"/>
    </row>
    <row r="23" spans="2:21" ht="15" customHeight="1" x14ac:dyDescent="0.2">
      <c r="B23" s="657" t="s">
        <v>313</v>
      </c>
      <c r="C23" s="69" t="s">
        <v>594</v>
      </c>
      <c r="D23" s="138">
        <v>8197581</v>
      </c>
      <c r="E23" s="247">
        <v>30066384</v>
      </c>
      <c r="F23" s="247">
        <v>4028816</v>
      </c>
      <c r="G23" s="247">
        <v>502196</v>
      </c>
      <c r="H23" s="247">
        <v>4644645</v>
      </c>
      <c r="I23" s="247">
        <v>894405</v>
      </c>
      <c r="J23" s="247">
        <v>0</v>
      </c>
      <c r="K23" s="247">
        <v>0</v>
      </c>
      <c r="L23" s="247">
        <v>0</v>
      </c>
      <c r="M23" s="247">
        <v>48334027</v>
      </c>
      <c r="N23" s="326">
        <f>M23-RZiS!D3</f>
        <v>0</v>
      </c>
      <c r="O23" s="136"/>
      <c r="P23" s="136"/>
      <c r="Q23" s="136"/>
      <c r="R23" s="136"/>
      <c r="S23" s="136"/>
      <c r="T23" s="136"/>
      <c r="U23" s="136"/>
    </row>
    <row r="24" spans="2:21" ht="24" customHeight="1" x14ac:dyDescent="0.2">
      <c r="B24" s="657"/>
      <c r="C24" s="69" t="s">
        <v>595</v>
      </c>
      <c r="D24" s="138">
        <v>2203118</v>
      </c>
      <c r="E24" s="247">
        <f>2759582+939095</f>
        <v>3698677</v>
      </c>
      <c r="F24" s="247">
        <f>4178493</f>
        <v>4178493</v>
      </c>
      <c r="G24" s="247">
        <v>30712</v>
      </c>
      <c r="H24" s="247">
        <v>15371</v>
      </c>
      <c r="I24" s="247">
        <v>0</v>
      </c>
      <c r="J24" s="247">
        <v>0</v>
      </c>
      <c r="K24" s="247">
        <v>0</v>
      </c>
      <c r="L24" s="247">
        <v>10126371</v>
      </c>
      <c r="M24" s="247">
        <v>0</v>
      </c>
      <c r="N24" s="136"/>
      <c r="O24" s="136"/>
      <c r="P24" s="136"/>
      <c r="Q24" s="136"/>
      <c r="R24" s="136"/>
      <c r="S24" s="136"/>
      <c r="T24" s="136"/>
      <c r="U24" s="136"/>
    </row>
    <row r="25" spans="2:21" ht="24" customHeight="1" x14ac:dyDescent="0.2">
      <c r="B25" s="657" t="s">
        <v>596</v>
      </c>
      <c r="C25" s="69" t="s">
        <v>597</v>
      </c>
      <c r="D25" s="584">
        <v>10720237</v>
      </c>
      <c r="E25" s="584">
        <v>24507713</v>
      </c>
      <c r="F25" s="584">
        <v>4824108</v>
      </c>
      <c r="G25" s="584">
        <v>358933</v>
      </c>
      <c r="H25" s="584">
        <v>4747314</v>
      </c>
      <c r="I25" s="584">
        <v>987629</v>
      </c>
      <c r="J25" s="247">
        <v>0</v>
      </c>
      <c r="K25" s="247">
        <v>0</v>
      </c>
      <c r="L25" s="247">
        <v>0</v>
      </c>
      <c r="M25" s="247">
        <v>46145934</v>
      </c>
      <c r="N25" s="326">
        <f>M25-RZiS!D7</f>
        <v>0</v>
      </c>
      <c r="O25" s="136"/>
      <c r="P25" s="136"/>
      <c r="Q25" s="136"/>
      <c r="R25" s="136"/>
      <c r="S25" s="136"/>
      <c r="T25" s="136"/>
      <c r="U25" s="136"/>
    </row>
    <row r="26" spans="2:21" ht="24" customHeight="1" x14ac:dyDescent="0.2">
      <c r="B26" s="657"/>
      <c r="C26" s="69" t="s">
        <v>598</v>
      </c>
      <c r="D26" s="584">
        <f>1061107-1451</f>
        <v>1059656</v>
      </c>
      <c r="E26" s="584">
        <f>5223975+1029735-999-383</f>
        <v>6252328</v>
      </c>
      <c r="F26" s="584">
        <f>2401328+720+300-327</f>
        <v>2402021</v>
      </c>
      <c r="G26" s="584">
        <v>88009</v>
      </c>
      <c r="H26" s="584">
        <v>44588</v>
      </c>
      <c r="I26" s="584">
        <v>4018</v>
      </c>
      <c r="J26" s="247">
        <v>0</v>
      </c>
      <c r="K26" s="247">
        <v>0</v>
      </c>
      <c r="L26" s="247">
        <v>9850620</v>
      </c>
      <c r="M26" s="247">
        <v>0</v>
      </c>
      <c r="N26" s="136"/>
      <c r="O26" s="136"/>
      <c r="P26" s="136"/>
      <c r="Q26" s="136"/>
      <c r="R26" s="136"/>
      <c r="S26" s="136"/>
      <c r="T26" s="136"/>
      <c r="U26" s="136"/>
    </row>
    <row r="27" spans="2:21" ht="15" customHeight="1" x14ac:dyDescent="0.2">
      <c r="B27" s="652" t="s">
        <v>599</v>
      </c>
      <c r="C27" s="652"/>
      <c r="D27" s="516">
        <v>-1379194</v>
      </c>
      <c r="E27" s="516">
        <v>3005020</v>
      </c>
      <c r="F27" s="516">
        <v>981180</v>
      </c>
      <c r="G27" s="516">
        <v>85966</v>
      </c>
      <c r="H27" s="516">
        <v>-131886</v>
      </c>
      <c r="I27" s="516">
        <v>-97242</v>
      </c>
      <c r="J27" s="516">
        <v>0</v>
      </c>
      <c r="K27" s="516">
        <v>0</v>
      </c>
      <c r="L27" s="516">
        <v>275751</v>
      </c>
      <c r="M27" s="516">
        <v>2188093</v>
      </c>
      <c r="N27" s="326">
        <f>M27-RZiS!D16</f>
        <v>0</v>
      </c>
      <c r="O27" s="136"/>
      <c r="P27" s="136"/>
      <c r="Q27" s="136"/>
      <c r="R27" s="136"/>
      <c r="S27" s="136"/>
      <c r="T27" s="136"/>
      <c r="U27" s="136"/>
    </row>
    <row r="28" spans="2:21" ht="15" customHeight="1" x14ac:dyDescent="0.2">
      <c r="B28" s="641" t="s">
        <v>379</v>
      </c>
      <c r="C28" s="641"/>
      <c r="D28" s="247">
        <f>32542</f>
        <v>32542</v>
      </c>
      <c r="E28" s="138">
        <v>19018</v>
      </c>
      <c r="F28" s="247">
        <v>13043</v>
      </c>
      <c r="G28" s="247">
        <v>48</v>
      </c>
      <c r="H28" s="247">
        <v>39793</v>
      </c>
      <c r="I28" s="247">
        <v>4502</v>
      </c>
      <c r="J28" s="247">
        <v>0</v>
      </c>
      <c r="K28" s="247">
        <v>0</v>
      </c>
      <c r="L28" s="247">
        <v>1207</v>
      </c>
      <c r="M28" s="247">
        <f>SUM(D28:I28)-L28</f>
        <v>107739</v>
      </c>
      <c r="N28" s="326">
        <f>M28-RZiS!D18</f>
        <v>0</v>
      </c>
      <c r="O28" s="136"/>
      <c r="P28" s="136"/>
      <c r="Q28" s="136"/>
      <c r="R28" s="136"/>
      <c r="S28" s="136"/>
      <c r="T28" s="136"/>
      <c r="U28" s="136"/>
    </row>
    <row r="29" spans="2:21" ht="15" customHeight="1" x14ac:dyDescent="0.2">
      <c r="B29" s="653" t="s">
        <v>380</v>
      </c>
      <c r="C29" s="654"/>
      <c r="D29" s="247">
        <v>313805</v>
      </c>
      <c r="E29" s="138">
        <v>233174</v>
      </c>
      <c r="F29" s="247">
        <v>23816</v>
      </c>
      <c r="G29" s="247">
        <v>218</v>
      </c>
      <c r="H29" s="247">
        <v>52612</v>
      </c>
      <c r="I29" s="247">
        <v>39667</v>
      </c>
      <c r="J29" s="247">
        <v>0</v>
      </c>
      <c r="K29" s="247">
        <v>0</v>
      </c>
      <c r="L29" s="247">
        <v>6823</v>
      </c>
      <c r="M29" s="247">
        <f>SUM(D29:I29)-L29</f>
        <v>656469</v>
      </c>
      <c r="N29" s="326">
        <f>M29-RZiS!D19</f>
        <v>0</v>
      </c>
      <c r="O29" s="136"/>
      <c r="P29" s="136"/>
      <c r="Q29" s="136"/>
      <c r="R29" s="136"/>
      <c r="S29" s="136"/>
      <c r="T29" s="136"/>
      <c r="U29" s="136"/>
    </row>
    <row r="30" spans="2:21" ht="15" customHeight="1" x14ac:dyDescent="0.2">
      <c r="B30" s="517" t="s">
        <v>352</v>
      </c>
      <c r="C30" s="518"/>
      <c r="D30" s="247">
        <v>3055911</v>
      </c>
      <c r="E30" s="138">
        <v>57637</v>
      </c>
      <c r="F30" s="247">
        <v>290</v>
      </c>
      <c r="G30" s="247">
        <v>1</v>
      </c>
      <c r="H30" s="247">
        <v>238</v>
      </c>
      <c r="I30" s="247">
        <v>2512</v>
      </c>
      <c r="J30" s="247">
        <v>0</v>
      </c>
      <c r="K30" s="247">
        <v>0</v>
      </c>
      <c r="L30" s="247">
        <v>3064060</v>
      </c>
      <c r="M30" s="247">
        <v>52529</v>
      </c>
      <c r="N30" s="326">
        <f>M30-RZiS!D22</f>
        <v>0</v>
      </c>
      <c r="O30" s="136"/>
      <c r="P30" s="136"/>
      <c r="Q30" s="136"/>
      <c r="R30" s="136"/>
      <c r="S30" s="136"/>
      <c r="T30" s="136"/>
      <c r="U30" s="136"/>
    </row>
    <row r="31" spans="2:21" ht="15" customHeight="1" x14ac:dyDescent="0.2">
      <c r="B31" s="641" t="s">
        <v>576</v>
      </c>
      <c r="C31" s="641"/>
      <c r="D31" s="247">
        <v>224063</v>
      </c>
      <c r="E31" s="138">
        <v>11775</v>
      </c>
      <c r="F31" s="247">
        <v>7367</v>
      </c>
      <c r="G31" s="247">
        <v>23888</v>
      </c>
      <c r="H31" s="247">
        <v>2724</v>
      </c>
      <c r="I31" s="247">
        <v>11663</v>
      </c>
      <c r="J31" s="247">
        <v>0</v>
      </c>
      <c r="K31" s="247">
        <v>0</v>
      </c>
      <c r="L31" s="247">
        <v>69060</v>
      </c>
      <c r="M31" s="247">
        <v>212420</v>
      </c>
      <c r="N31" s="326">
        <f>M31-RZiS!D23</f>
        <v>0</v>
      </c>
      <c r="O31" s="136"/>
      <c r="P31" s="136"/>
      <c r="Q31" s="136"/>
      <c r="R31" s="136"/>
      <c r="S31" s="136"/>
      <c r="T31" s="136"/>
      <c r="U31" s="136"/>
    </row>
    <row r="32" spans="2:21" ht="22.5" customHeight="1" x14ac:dyDescent="0.2">
      <c r="B32" s="641" t="s">
        <v>718</v>
      </c>
      <c r="C32" s="641"/>
      <c r="D32" s="247">
        <v>0</v>
      </c>
      <c r="E32" s="247">
        <v>0</v>
      </c>
      <c r="F32" s="247">
        <v>0</v>
      </c>
      <c r="G32" s="247">
        <v>0</v>
      </c>
      <c r="H32" s="247">
        <v>0</v>
      </c>
      <c r="I32" s="247">
        <v>0</v>
      </c>
      <c r="J32" s="247">
        <v>0</v>
      </c>
      <c r="K32" s="247">
        <v>0</v>
      </c>
      <c r="L32" s="247">
        <v>0</v>
      </c>
      <c r="M32" s="247">
        <v>0</v>
      </c>
      <c r="N32" s="136"/>
      <c r="O32" s="136"/>
      <c r="P32" s="136"/>
      <c r="Q32" s="136"/>
      <c r="R32" s="136"/>
      <c r="S32" s="136"/>
      <c r="T32" s="136"/>
      <c r="U32" s="136"/>
    </row>
    <row r="33" spans="2:21" ht="47.25" customHeight="1" x14ac:dyDescent="0.2">
      <c r="B33" s="641" t="s">
        <v>719</v>
      </c>
      <c r="C33" s="641"/>
      <c r="D33" s="247">
        <v>0</v>
      </c>
      <c r="E33" s="247">
        <v>0</v>
      </c>
      <c r="F33" s="247">
        <v>0</v>
      </c>
      <c r="G33" s="247">
        <v>0</v>
      </c>
      <c r="H33" s="247">
        <v>0</v>
      </c>
      <c r="I33" s="247">
        <v>0</v>
      </c>
      <c r="J33" s="247">
        <v>0</v>
      </c>
      <c r="K33" s="247">
        <v>0</v>
      </c>
      <c r="L33" s="247">
        <v>0</v>
      </c>
      <c r="M33" s="247">
        <v>0</v>
      </c>
      <c r="N33" s="136"/>
      <c r="O33" s="136"/>
      <c r="P33" s="136"/>
      <c r="Q33" s="136"/>
      <c r="R33" s="136"/>
      <c r="S33" s="136"/>
      <c r="T33" s="136"/>
      <c r="U33" s="136"/>
    </row>
    <row r="34" spans="2:21" ht="22.5" customHeight="1" x14ac:dyDescent="0.2">
      <c r="B34" s="641" t="s">
        <v>601</v>
      </c>
      <c r="C34" s="641"/>
      <c r="D34" s="247">
        <v>0</v>
      </c>
      <c r="E34" s="247">
        <v>0</v>
      </c>
      <c r="F34" s="247">
        <v>0</v>
      </c>
      <c r="G34" s="247">
        <v>0</v>
      </c>
      <c r="H34" s="247">
        <v>0</v>
      </c>
      <c r="I34" s="247">
        <v>0</v>
      </c>
      <c r="J34" s="247">
        <v>0</v>
      </c>
      <c r="K34" s="247">
        <v>0</v>
      </c>
      <c r="L34" s="247">
        <v>0</v>
      </c>
      <c r="M34" s="247">
        <v>0</v>
      </c>
      <c r="N34" s="136"/>
      <c r="O34" s="136"/>
      <c r="P34" s="136"/>
      <c r="Q34" s="136"/>
      <c r="R34" s="136"/>
      <c r="S34" s="136"/>
      <c r="T34" s="136"/>
      <c r="U34" s="136"/>
    </row>
    <row r="35" spans="2:21" ht="30" customHeight="1" x14ac:dyDescent="0.2">
      <c r="B35" s="650" t="s">
        <v>671</v>
      </c>
      <c r="C35" s="651"/>
      <c r="D35" s="247">
        <v>0</v>
      </c>
      <c r="E35" s="247">
        <v>0</v>
      </c>
      <c r="F35" s="247">
        <v>0</v>
      </c>
      <c r="G35" s="247">
        <v>0</v>
      </c>
      <c r="H35" s="247">
        <v>0</v>
      </c>
      <c r="I35" s="247">
        <v>0</v>
      </c>
      <c r="J35" s="247">
        <v>0</v>
      </c>
      <c r="K35" s="247">
        <v>0</v>
      </c>
      <c r="L35" s="247">
        <v>0</v>
      </c>
      <c r="M35" s="247">
        <v>0</v>
      </c>
      <c r="N35" s="136"/>
      <c r="O35" s="136"/>
      <c r="P35" s="136"/>
      <c r="Q35" s="136"/>
      <c r="R35" s="136"/>
      <c r="S35" s="136"/>
      <c r="T35" s="136"/>
      <c r="U35" s="136"/>
    </row>
    <row r="36" spans="2:21" ht="15" customHeight="1" x14ac:dyDescent="0.2">
      <c r="B36" s="652" t="s">
        <v>600</v>
      </c>
      <c r="C36" s="652"/>
      <c r="D36" s="168">
        <v>1171391</v>
      </c>
      <c r="E36" s="168">
        <v>2836726</v>
      </c>
      <c r="F36" s="168">
        <v>963330</v>
      </c>
      <c r="G36" s="168">
        <v>61909</v>
      </c>
      <c r="H36" s="168">
        <v>-147191</v>
      </c>
      <c r="I36" s="168">
        <v>-141558</v>
      </c>
      <c r="J36" s="168">
        <v>0</v>
      </c>
      <c r="K36" s="168">
        <v>0</v>
      </c>
      <c r="L36" s="168">
        <v>3265135</v>
      </c>
      <c r="M36" s="168">
        <v>1479472</v>
      </c>
      <c r="N36" s="309">
        <f>RZiS!D26</f>
        <v>1479472</v>
      </c>
      <c r="O36" s="136"/>
      <c r="P36" s="136"/>
      <c r="Q36" s="136"/>
      <c r="R36" s="136"/>
      <c r="S36" s="136"/>
      <c r="T36" s="136"/>
      <c r="U36" s="136"/>
    </row>
    <row r="37" spans="2:21" ht="15" customHeight="1" x14ac:dyDescent="0.2">
      <c r="B37" s="641" t="s">
        <v>496</v>
      </c>
      <c r="C37" s="641"/>
      <c r="D37" s="247">
        <v>104020</v>
      </c>
      <c r="E37" s="138">
        <v>619640</v>
      </c>
      <c r="F37" s="209">
        <v>161533</v>
      </c>
      <c r="G37" s="247">
        <v>71345</v>
      </c>
      <c r="H37" s="247">
        <v>0</v>
      </c>
      <c r="I37" s="247">
        <v>5938</v>
      </c>
      <c r="J37" s="247">
        <v>0</v>
      </c>
      <c r="K37" s="247">
        <v>0</v>
      </c>
      <c r="L37" s="247">
        <v>0</v>
      </c>
      <c r="M37" s="247">
        <v>962476</v>
      </c>
      <c r="N37" s="326">
        <f>RZiS!D27</f>
        <v>962476</v>
      </c>
      <c r="O37" s="136"/>
      <c r="P37" s="136"/>
      <c r="Q37" s="136"/>
      <c r="R37" s="136"/>
      <c r="S37" s="136"/>
      <c r="T37" s="136"/>
      <c r="U37" s="136"/>
    </row>
    <row r="38" spans="2:21" ht="15" customHeight="1" x14ac:dyDescent="0.2">
      <c r="B38" s="653" t="s">
        <v>720</v>
      </c>
      <c r="C38" s="654"/>
      <c r="D38" s="247">
        <v>0</v>
      </c>
      <c r="E38" s="521">
        <v>0</v>
      </c>
      <c r="F38" s="522">
        <v>0</v>
      </c>
      <c r="G38" s="247">
        <v>0</v>
      </c>
      <c r="H38" s="247">
        <v>0</v>
      </c>
      <c r="I38" s="247">
        <v>0</v>
      </c>
      <c r="J38" s="247">
        <v>0</v>
      </c>
      <c r="K38" s="247">
        <v>0</v>
      </c>
      <c r="L38" s="247">
        <v>80205</v>
      </c>
      <c r="M38" s="247">
        <v>80205</v>
      </c>
      <c r="N38" s="309">
        <f>RZiS!D33</f>
        <v>80205</v>
      </c>
      <c r="O38" s="136"/>
      <c r="P38" s="136"/>
      <c r="Q38" s="136"/>
      <c r="R38" s="136"/>
      <c r="S38" s="136"/>
      <c r="T38" s="136"/>
      <c r="U38" s="136"/>
    </row>
    <row r="39" spans="2:21" ht="15" customHeight="1" thickBot="1" x14ac:dyDescent="0.25">
      <c r="B39" s="655" t="s">
        <v>602</v>
      </c>
      <c r="C39" s="655"/>
      <c r="D39" s="519">
        <v>1067371</v>
      </c>
      <c r="E39" s="519">
        <v>2217086</v>
      </c>
      <c r="F39" s="519">
        <v>801797</v>
      </c>
      <c r="G39" s="519">
        <v>-9436</v>
      </c>
      <c r="H39" s="519">
        <v>-147191</v>
      </c>
      <c r="I39" s="519">
        <v>-147496</v>
      </c>
      <c r="J39" s="519">
        <v>0</v>
      </c>
      <c r="K39" s="519">
        <v>0</v>
      </c>
      <c r="L39" s="519">
        <v>3345341</v>
      </c>
      <c r="M39" s="519">
        <v>436791</v>
      </c>
      <c r="N39" s="309">
        <f>RZiS!D34</f>
        <v>436791</v>
      </c>
      <c r="O39" s="136"/>
      <c r="P39" s="136"/>
      <c r="Q39" s="136"/>
      <c r="R39" s="136"/>
      <c r="S39" s="136"/>
      <c r="T39" s="136"/>
      <c r="U39" s="136"/>
    </row>
    <row r="40" spans="2:21" ht="15" customHeight="1" x14ac:dyDescent="0.2">
      <c r="B40" s="656" t="s">
        <v>603</v>
      </c>
      <c r="C40" s="656"/>
      <c r="D40" s="523">
        <v>20839433</v>
      </c>
      <c r="E40" s="523">
        <v>15711273</v>
      </c>
      <c r="F40" s="523">
        <v>5609808.4199999999</v>
      </c>
      <c r="G40" s="523">
        <v>806521</v>
      </c>
      <c r="H40" s="523">
        <v>2601028</v>
      </c>
      <c r="I40" s="523">
        <v>3687804</v>
      </c>
      <c r="J40" s="523">
        <v>0</v>
      </c>
      <c r="K40" s="523">
        <v>0</v>
      </c>
      <c r="L40" s="523">
        <v>9123627</v>
      </c>
      <c r="M40" s="523">
        <v>40132240.420000002</v>
      </c>
      <c r="N40" s="309"/>
      <c r="O40" s="136"/>
      <c r="P40" s="136"/>
      <c r="Q40" s="136"/>
      <c r="R40" s="136"/>
      <c r="S40" s="136"/>
      <c r="T40" s="136"/>
      <c r="U40" s="136"/>
    </row>
    <row r="41" spans="2:21" ht="15" customHeight="1" x14ac:dyDescent="0.2">
      <c r="B41" s="641" t="s">
        <v>583</v>
      </c>
      <c r="C41" s="641"/>
      <c r="D41" s="247">
        <v>20839433</v>
      </c>
      <c r="E41" s="138">
        <v>15711273</v>
      </c>
      <c r="F41" s="247">
        <v>5609808.4199999999</v>
      </c>
      <c r="G41" s="247">
        <v>806521</v>
      </c>
      <c r="H41" s="247">
        <v>2601028</v>
      </c>
      <c r="I41" s="247">
        <v>3687804</v>
      </c>
      <c r="J41" s="247">
        <v>0</v>
      </c>
      <c r="K41" s="247">
        <v>0</v>
      </c>
      <c r="L41" s="247">
        <v>9123627</v>
      </c>
      <c r="M41" s="247">
        <v>40132240.420000002</v>
      </c>
      <c r="N41" s="309">
        <f>Aktywa!D27</f>
        <v>40132239.659999996</v>
      </c>
      <c r="O41" s="136"/>
      <c r="P41" s="136"/>
      <c r="Q41" s="136"/>
      <c r="R41" s="136"/>
      <c r="S41" s="136"/>
      <c r="T41" s="136"/>
      <c r="U41" s="136"/>
    </row>
    <row r="42" spans="2:21" ht="15" customHeight="1" x14ac:dyDescent="0.2">
      <c r="B42" s="641" t="s">
        <v>604</v>
      </c>
      <c r="C42" s="641"/>
      <c r="D42" s="247">
        <v>0</v>
      </c>
      <c r="E42" s="247">
        <v>0</v>
      </c>
      <c r="F42" s="247">
        <v>0</v>
      </c>
      <c r="G42" s="247">
        <v>0</v>
      </c>
      <c r="H42" s="247">
        <v>0</v>
      </c>
      <c r="I42" s="247">
        <v>0</v>
      </c>
      <c r="J42" s="247">
        <v>0</v>
      </c>
      <c r="K42" s="247">
        <v>0</v>
      </c>
      <c r="L42" s="247">
        <v>0</v>
      </c>
      <c r="M42" s="247">
        <v>0</v>
      </c>
      <c r="N42" s="136"/>
      <c r="O42" s="136"/>
      <c r="P42" s="136"/>
      <c r="Q42" s="136"/>
      <c r="R42" s="136"/>
      <c r="S42" s="136"/>
      <c r="T42" s="136"/>
      <c r="U42" s="136"/>
    </row>
    <row r="43" spans="2:21" ht="15" customHeight="1" x14ac:dyDescent="0.2">
      <c r="B43" s="652" t="s">
        <v>605</v>
      </c>
      <c r="C43" s="652"/>
      <c r="D43" s="523">
        <v>8672044</v>
      </c>
      <c r="E43" s="523">
        <v>7505069</v>
      </c>
      <c r="F43" s="523">
        <v>2089197</v>
      </c>
      <c r="G43" s="523">
        <v>857394</v>
      </c>
      <c r="H43" s="523">
        <v>1628997</v>
      </c>
      <c r="I43" s="523">
        <v>2111569</v>
      </c>
      <c r="J43" s="523">
        <v>0</v>
      </c>
      <c r="K43" s="523">
        <v>0</v>
      </c>
      <c r="L43" s="523">
        <v>8553543</v>
      </c>
      <c r="M43" s="168">
        <v>14310727</v>
      </c>
      <c r="N43" s="136"/>
      <c r="O43" s="136"/>
      <c r="P43" s="136"/>
      <c r="Q43" s="136"/>
      <c r="R43" s="136"/>
      <c r="S43" s="136"/>
      <c r="T43" s="136"/>
      <c r="U43" s="136"/>
    </row>
    <row r="44" spans="2:21" ht="15" customHeight="1" x14ac:dyDescent="0.2">
      <c r="B44" s="641" t="s">
        <v>606</v>
      </c>
      <c r="C44" s="641"/>
      <c r="D44" s="247">
        <v>8672044</v>
      </c>
      <c r="E44" s="138">
        <v>7505069</v>
      </c>
      <c r="F44" s="247">
        <v>2089197</v>
      </c>
      <c r="G44" s="247">
        <v>857394</v>
      </c>
      <c r="H44" s="247">
        <v>1628997</v>
      </c>
      <c r="I44" s="247">
        <v>2111569</v>
      </c>
      <c r="J44" s="247">
        <v>0</v>
      </c>
      <c r="K44" s="247">
        <v>0</v>
      </c>
      <c r="L44" s="247">
        <v>8553543</v>
      </c>
      <c r="M44" s="247">
        <v>14310727</v>
      </c>
      <c r="N44" s="309">
        <f>Pasywa!D13+Pasywa!D21</f>
        <v>14310727</v>
      </c>
      <c r="O44" s="136"/>
      <c r="P44" s="136"/>
      <c r="Q44" s="136"/>
      <c r="R44" s="136"/>
      <c r="S44" s="136"/>
      <c r="T44" s="136"/>
      <c r="U44" s="136"/>
    </row>
    <row r="45" spans="2:21" ht="15.75" customHeight="1" thickBot="1" x14ac:dyDescent="0.25">
      <c r="B45" s="658" t="s">
        <v>607</v>
      </c>
      <c r="C45" s="658"/>
      <c r="D45" s="524">
        <v>0</v>
      </c>
      <c r="E45" s="525">
        <v>0</v>
      </c>
      <c r="F45" s="524">
        <v>0</v>
      </c>
      <c r="G45" s="524">
        <v>0</v>
      </c>
      <c r="H45" s="524">
        <v>0</v>
      </c>
      <c r="I45" s="524">
        <v>0</v>
      </c>
      <c r="J45" s="524">
        <v>0</v>
      </c>
      <c r="K45" s="524">
        <v>0</v>
      </c>
      <c r="L45" s="524">
        <v>0</v>
      </c>
      <c r="M45" s="524">
        <v>0</v>
      </c>
      <c r="N45" s="136"/>
      <c r="O45" s="136"/>
      <c r="P45" s="136"/>
      <c r="Q45" s="136"/>
      <c r="R45" s="136"/>
      <c r="S45" s="136"/>
      <c r="T45" s="136"/>
      <c r="U45" s="136"/>
    </row>
    <row r="46" spans="2:21" ht="15" customHeight="1" x14ac:dyDescent="0.2">
      <c r="B46" s="659" t="s">
        <v>608</v>
      </c>
      <c r="C46" s="660"/>
      <c r="D46" s="526"/>
      <c r="E46" s="526"/>
      <c r="F46" s="526"/>
      <c r="G46" s="526"/>
      <c r="H46" s="526"/>
      <c r="I46" s="526"/>
      <c r="J46" s="526"/>
      <c r="K46" s="526"/>
      <c r="L46" s="526"/>
      <c r="M46" s="527"/>
      <c r="N46" s="136"/>
      <c r="O46" s="136"/>
      <c r="P46" s="136"/>
      <c r="Q46" s="136"/>
      <c r="R46" s="136"/>
      <c r="S46" s="136"/>
      <c r="T46" s="136"/>
      <c r="U46" s="136"/>
    </row>
    <row r="47" spans="2:21" ht="15" customHeight="1" x14ac:dyDescent="0.2">
      <c r="B47" s="661" t="s">
        <v>609</v>
      </c>
      <c r="C47" s="661"/>
      <c r="D47" s="523">
        <v>0</v>
      </c>
      <c r="E47" s="523">
        <v>0</v>
      </c>
      <c r="F47" s="523">
        <v>0</v>
      </c>
      <c r="G47" s="523">
        <v>0</v>
      </c>
      <c r="H47" s="523">
        <v>0</v>
      </c>
      <c r="I47" s="523">
        <v>0</v>
      </c>
      <c r="J47" s="523">
        <v>0</v>
      </c>
      <c r="K47" s="523">
        <v>0</v>
      </c>
      <c r="L47" s="523">
        <v>0</v>
      </c>
      <c r="M47" s="168">
        <v>0</v>
      </c>
      <c r="N47" s="136"/>
      <c r="O47" s="136"/>
      <c r="P47" s="136"/>
      <c r="Q47" s="136"/>
      <c r="R47" s="136"/>
      <c r="S47" s="136"/>
      <c r="T47" s="136"/>
      <c r="U47" s="136"/>
    </row>
    <row r="48" spans="2:21" ht="15" customHeight="1" x14ac:dyDescent="0.2">
      <c r="B48" s="649" t="s">
        <v>610</v>
      </c>
      <c r="C48" s="649"/>
      <c r="D48" s="611">
        <v>608291</v>
      </c>
      <c r="E48" s="613">
        <v>168408</v>
      </c>
      <c r="F48" s="611">
        <v>66330</v>
      </c>
      <c r="G48" s="611">
        <v>0</v>
      </c>
      <c r="H48" s="620">
        <v>9533</v>
      </c>
      <c r="I48" s="620">
        <v>0</v>
      </c>
      <c r="J48" s="620">
        <v>0</v>
      </c>
      <c r="K48" s="620">
        <v>0</v>
      </c>
      <c r="L48" s="620">
        <v>50764</v>
      </c>
      <c r="M48" s="611">
        <v>801798</v>
      </c>
      <c r="N48" s="136"/>
      <c r="O48" s="136"/>
      <c r="P48" s="136"/>
      <c r="Q48" s="136"/>
      <c r="R48" s="136"/>
      <c r="S48" s="136"/>
      <c r="T48" s="136"/>
      <c r="U48" s="136"/>
    </row>
    <row r="49" spans="2:21" ht="15" customHeight="1" x14ac:dyDescent="0.2">
      <c r="B49" s="649" t="s">
        <v>611</v>
      </c>
      <c r="C49" s="649"/>
      <c r="D49" s="611">
        <v>960137</v>
      </c>
      <c r="E49" s="613">
        <v>1120495</v>
      </c>
      <c r="F49" s="611">
        <v>2248965</v>
      </c>
      <c r="G49" s="611">
        <v>466625</v>
      </c>
      <c r="H49" s="620">
        <v>975685</v>
      </c>
      <c r="I49" s="620">
        <v>197968</v>
      </c>
      <c r="J49" s="620">
        <v>0</v>
      </c>
      <c r="K49" s="620">
        <v>0</v>
      </c>
      <c r="L49" s="620">
        <v>168745</v>
      </c>
      <c r="M49" s="611">
        <v>5801130</v>
      </c>
      <c r="N49" s="136"/>
      <c r="O49" s="136"/>
      <c r="P49" s="136"/>
      <c r="Q49" s="136"/>
      <c r="R49" s="136"/>
      <c r="S49" s="136"/>
      <c r="T49" s="136"/>
      <c r="U49" s="136"/>
    </row>
    <row r="50" spans="2:21" ht="15" customHeight="1" x14ac:dyDescent="0.2">
      <c r="B50" s="649" t="s">
        <v>612</v>
      </c>
      <c r="C50" s="649"/>
      <c r="D50" s="528">
        <v>0</v>
      </c>
      <c r="E50" s="528">
        <v>0</v>
      </c>
      <c r="F50" s="528">
        <v>0</v>
      </c>
      <c r="G50" s="528">
        <v>0</v>
      </c>
      <c r="H50" s="528">
        <v>0</v>
      </c>
      <c r="I50" s="528">
        <v>0</v>
      </c>
      <c r="J50" s="528">
        <v>0</v>
      </c>
      <c r="K50" s="528">
        <v>0</v>
      </c>
      <c r="L50" s="528">
        <v>0</v>
      </c>
      <c r="M50" s="528">
        <v>0</v>
      </c>
      <c r="N50" s="136"/>
      <c r="O50" s="136"/>
      <c r="P50" s="136"/>
      <c r="Q50" s="136"/>
      <c r="R50" s="136"/>
      <c r="S50" s="136"/>
      <c r="T50" s="136"/>
      <c r="U50" s="136"/>
    </row>
    <row r="51" spans="2:21" x14ac:dyDescent="0.2">
      <c r="B51" s="649" t="s">
        <v>613</v>
      </c>
      <c r="C51" s="649"/>
      <c r="D51" s="247">
        <v>754139</v>
      </c>
      <c r="E51" s="138">
        <v>390931</v>
      </c>
      <c r="F51" s="247">
        <v>1091919</v>
      </c>
      <c r="G51" s="247">
        <v>12240</v>
      </c>
      <c r="H51" s="528">
        <v>258642</v>
      </c>
      <c r="I51" s="528">
        <v>10593</v>
      </c>
      <c r="J51" s="528">
        <v>0</v>
      </c>
      <c r="K51" s="528">
        <v>0</v>
      </c>
      <c r="L51" s="528">
        <v>31615</v>
      </c>
      <c r="M51" s="247">
        <v>2486849</v>
      </c>
      <c r="N51" s="326">
        <f>RZiS!D8</f>
        <v>2486849</v>
      </c>
      <c r="O51" s="136"/>
      <c r="P51" s="136"/>
      <c r="Q51" s="136"/>
      <c r="R51" s="136"/>
      <c r="S51" s="136"/>
      <c r="T51" s="136"/>
      <c r="U51" s="136"/>
    </row>
    <row r="52" spans="2:21" ht="15" customHeight="1" x14ac:dyDescent="0.2">
      <c r="B52" s="649" t="s">
        <v>614</v>
      </c>
      <c r="C52" s="649"/>
      <c r="D52" s="528">
        <v>0</v>
      </c>
      <c r="E52" s="528">
        <v>0</v>
      </c>
      <c r="F52" s="528">
        <v>0</v>
      </c>
      <c r="G52" s="528">
        <v>0</v>
      </c>
      <c r="H52" s="528">
        <v>0</v>
      </c>
      <c r="I52" s="528">
        <v>0</v>
      </c>
      <c r="J52" s="528">
        <v>0</v>
      </c>
      <c r="K52" s="528">
        <v>0</v>
      </c>
      <c r="L52" s="528">
        <v>0</v>
      </c>
      <c r="M52" s="247">
        <v>0</v>
      </c>
      <c r="N52" s="326"/>
      <c r="O52" s="136"/>
      <c r="P52" s="136"/>
      <c r="Q52" s="136"/>
      <c r="R52" s="136"/>
      <c r="S52" s="136"/>
      <c r="T52" s="136"/>
      <c r="U52" s="136"/>
    </row>
    <row r="53" spans="2:21" ht="15" customHeight="1" x14ac:dyDescent="0.2">
      <c r="B53" s="649" t="s">
        <v>615</v>
      </c>
      <c r="C53" s="649"/>
      <c r="D53" s="247">
        <v>0</v>
      </c>
      <c r="E53" s="138">
        <v>0</v>
      </c>
      <c r="F53" s="138">
        <v>0</v>
      </c>
      <c r="G53" s="247">
        <v>0</v>
      </c>
      <c r="H53" s="528">
        <v>0</v>
      </c>
      <c r="I53" s="528">
        <v>0</v>
      </c>
      <c r="J53" s="528">
        <v>0</v>
      </c>
      <c r="K53" s="528">
        <v>0</v>
      </c>
      <c r="L53" s="528">
        <v>0</v>
      </c>
      <c r="M53" s="247">
        <v>0</v>
      </c>
      <c r="N53" s="136"/>
      <c r="O53" s="136"/>
      <c r="P53" s="136"/>
      <c r="Q53" s="136"/>
      <c r="R53" s="136"/>
      <c r="S53" s="136"/>
      <c r="T53" s="136"/>
      <c r="U53" s="136"/>
    </row>
    <row r="54" spans="2:21" ht="36" customHeight="1" x14ac:dyDescent="0.2">
      <c r="B54" s="11"/>
      <c r="C54" s="136"/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</row>
    <row r="55" spans="2:21" s="408" customFormat="1" ht="15" customHeight="1" x14ac:dyDescent="0.2">
      <c r="B55" s="54" t="s">
        <v>782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</row>
    <row r="56" spans="2:21" s="408" customFormat="1" ht="15" customHeight="1" x14ac:dyDescent="0.25">
      <c r="B56" s="644" t="s">
        <v>783</v>
      </c>
      <c r="C56" s="644"/>
      <c r="D56" s="644" t="s">
        <v>8</v>
      </c>
      <c r="E56" s="644"/>
      <c r="F56" s="644"/>
      <c r="G56" s="644"/>
      <c r="H56" s="644"/>
      <c r="I56" s="409"/>
      <c r="J56" s="644" t="s">
        <v>593</v>
      </c>
      <c r="K56" s="642" t="s">
        <v>617</v>
      </c>
      <c r="L56" s="642" t="s">
        <v>616</v>
      </c>
      <c r="M56" s="644" t="s">
        <v>417</v>
      </c>
      <c r="N56" s="136"/>
    </row>
    <row r="57" spans="2:21" ht="15" customHeight="1" x14ac:dyDescent="0.2">
      <c r="B57" s="644"/>
      <c r="C57" s="644"/>
      <c r="D57" s="409" t="s">
        <v>702</v>
      </c>
      <c r="E57" s="409" t="s">
        <v>703</v>
      </c>
      <c r="F57" s="409" t="s">
        <v>704</v>
      </c>
      <c r="G57" s="409" t="s">
        <v>705</v>
      </c>
      <c r="H57" s="409"/>
      <c r="I57" s="409"/>
      <c r="J57" s="644"/>
      <c r="K57" s="643"/>
      <c r="L57" s="643"/>
      <c r="M57" s="644"/>
      <c r="N57" s="408"/>
      <c r="O57" s="136"/>
      <c r="P57" s="136"/>
      <c r="Q57" s="136"/>
      <c r="R57" s="136"/>
      <c r="S57" s="136"/>
      <c r="T57" s="136"/>
      <c r="U57" s="136"/>
    </row>
    <row r="58" spans="2:21" ht="24" customHeight="1" x14ac:dyDescent="0.2">
      <c r="B58" s="657" t="s">
        <v>313</v>
      </c>
      <c r="C58" s="69" t="s">
        <v>594</v>
      </c>
      <c r="D58" s="138">
        <v>8610745</v>
      </c>
      <c r="E58" s="247">
        <v>34002374</v>
      </c>
      <c r="F58" s="247">
        <v>3303139</v>
      </c>
      <c r="G58" s="247">
        <v>49732</v>
      </c>
      <c r="H58" s="106">
        <v>0</v>
      </c>
      <c r="I58" s="106"/>
      <c r="J58" s="106">
        <v>0</v>
      </c>
      <c r="K58" s="106">
        <v>0</v>
      </c>
      <c r="L58" s="247">
        <v>0</v>
      </c>
      <c r="M58" s="247">
        <f>SUM(D58:L58)</f>
        <v>45965990</v>
      </c>
      <c r="N58" s="511">
        <f>M58-RZiS!E3</f>
        <v>0</v>
      </c>
      <c r="O58" s="136"/>
      <c r="P58" s="136"/>
      <c r="Q58" s="136"/>
      <c r="R58" s="136"/>
      <c r="S58" s="136"/>
      <c r="T58" s="136"/>
      <c r="U58" s="136"/>
    </row>
    <row r="59" spans="2:21" ht="24" customHeight="1" x14ac:dyDescent="0.2">
      <c r="B59" s="657"/>
      <c r="C59" s="69" t="s">
        <v>595</v>
      </c>
      <c r="D59" s="138">
        <v>1925064</v>
      </c>
      <c r="E59" s="247">
        <v>3049028</v>
      </c>
      <c r="F59" s="247">
        <v>6317741</v>
      </c>
      <c r="G59" s="247">
        <v>690588</v>
      </c>
      <c r="H59" s="106">
        <v>0</v>
      </c>
      <c r="I59" s="106"/>
      <c r="J59" s="106">
        <v>0</v>
      </c>
      <c r="K59" s="106">
        <v>0</v>
      </c>
      <c r="L59" s="247">
        <v>11982421</v>
      </c>
      <c r="M59" s="247">
        <v>0</v>
      </c>
      <c r="N59" s="136"/>
      <c r="O59" s="136"/>
      <c r="P59" s="136"/>
      <c r="Q59" s="136"/>
      <c r="R59" s="136"/>
      <c r="S59" s="136"/>
      <c r="T59" s="136"/>
      <c r="U59" s="136"/>
    </row>
    <row r="60" spans="2:21" ht="24" customHeight="1" x14ac:dyDescent="0.2">
      <c r="B60" s="657" t="s">
        <v>596</v>
      </c>
      <c r="C60" s="69" t="s">
        <v>597</v>
      </c>
      <c r="D60" s="138">
        <v>10523113</v>
      </c>
      <c r="E60" s="247">
        <v>24773205</v>
      </c>
      <c r="F60" s="247">
        <v>5716264</v>
      </c>
      <c r="G60" s="247">
        <v>465300</v>
      </c>
      <c r="H60" s="106">
        <v>0</v>
      </c>
      <c r="I60" s="106"/>
      <c r="J60" s="106">
        <v>0</v>
      </c>
      <c r="K60" s="106">
        <v>0</v>
      </c>
      <c r="L60" s="247"/>
      <c r="M60" s="247">
        <f>SUM(D60:L60)</f>
        <v>41477882</v>
      </c>
      <c r="N60" s="326">
        <f>M60-RZiS!E7</f>
        <v>0</v>
      </c>
      <c r="O60" s="136"/>
      <c r="P60" s="136"/>
      <c r="Q60" s="136"/>
      <c r="R60" s="136"/>
      <c r="S60" s="136"/>
      <c r="T60" s="136"/>
      <c r="U60" s="136"/>
    </row>
    <row r="61" spans="2:21" ht="21" customHeight="1" x14ac:dyDescent="0.2">
      <c r="B61" s="657"/>
      <c r="C61" s="69" t="s">
        <v>598</v>
      </c>
      <c r="D61" s="138">
        <v>896296</v>
      </c>
      <c r="E61" s="247">
        <v>7999700</v>
      </c>
      <c r="F61" s="247">
        <v>2862308</v>
      </c>
      <c r="G61" s="247">
        <v>96059</v>
      </c>
      <c r="H61" s="106">
        <v>0</v>
      </c>
      <c r="I61" s="106"/>
      <c r="J61" s="106">
        <v>0</v>
      </c>
      <c r="K61" s="106">
        <v>0</v>
      </c>
      <c r="L61" s="247">
        <v>11854363</v>
      </c>
      <c r="M61" s="247">
        <v>0</v>
      </c>
      <c r="N61" s="136"/>
      <c r="O61" s="136"/>
      <c r="P61" s="136"/>
      <c r="Q61" s="136"/>
      <c r="R61" s="136"/>
      <c r="S61" s="136"/>
      <c r="T61" s="136"/>
      <c r="U61" s="136"/>
    </row>
    <row r="62" spans="2:21" ht="15" customHeight="1" x14ac:dyDescent="0.2">
      <c r="B62" s="652" t="s">
        <v>599</v>
      </c>
      <c r="C62" s="652"/>
      <c r="D62" s="516">
        <v>-883600</v>
      </c>
      <c r="E62" s="516">
        <v>4278497</v>
      </c>
      <c r="F62" s="516">
        <v>1042308</v>
      </c>
      <c r="G62" s="516">
        <v>178961</v>
      </c>
      <c r="H62" s="516">
        <v>0</v>
      </c>
      <c r="I62" s="516"/>
      <c r="J62" s="516">
        <v>0</v>
      </c>
      <c r="K62" s="516">
        <v>0</v>
      </c>
      <c r="L62" s="516">
        <v>128058</v>
      </c>
      <c r="M62" s="516">
        <f>D62+E62+F62+G62-L62</f>
        <v>4488108</v>
      </c>
      <c r="N62" s="326">
        <f>M62-RZiS!E16</f>
        <v>0</v>
      </c>
      <c r="O62" s="136"/>
      <c r="P62" s="136"/>
      <c r="Q62" s="136"/>
      <c r="R62" s="136"/>
      <c r="S62" s="136"/>
      <c r="T62" s="136"/>
      <c r="U62" s="136"/>
    </row>
    <row r="63" spans="2:21" ht="15" customHeight="1" x14ac:dyDescent="0.2">
      <c r="B63" s="641" t="s">
        <v>379</v>
      </c>
      <c r="C63" s="641"/>
      <c r="D63" s="247">
        <v>22551</v>
      </c>
      <c r="E63" s="138">
        <v>206668</v>
      </c>
      <c r="F63" s="247">
        <v>10</v>
      </c>
      <c r="G63" s="247">
        <v>98</v>
      </c>
      <c r="H63" s="106">
        <v>0</v>
      </c>
      <c r="I63" s="106"/>
      <c r="J63" s="106">
        <v>0</v>
      </c>
      <c r="K63" s="106">
        <v>0</v>
      </c>
      <c r="L63" s="106">
        <v>0</v>
      </c>
      <c r="M63" s="247">
        <f>SUM(D63:L63)</f>
        <v>229327</v>
      </c>
      <c r="N63" s="136"/>
      <c r="O63" s="136"/>
      <c r="P63" s="136"/>
      <c r="Q63" s="136"/>
      <c r="R63" s="136"/>
      <c r="S63" s="136"/>
      <c r="T63" s="136"/>
      <c r="U63" s="136"/>
    </row>
    <row r="64" spans="2:21" ht="15" customHeight="1" x14ac:dyDescent="0.2">
      <c r="B64" s="653" t="s">
        <v>380</v>
      </c>
      <c r="C64" s="654"/>
      <c r="D64" s="247">
        <v>158699</v>
      </c>
      <c r="E64" s="138">
        <v>197030</v>
      </c>
      <c r="F64" s="247">
        <v>41918</v>
      </c>
      <c r="G64" s="247">
        <v>10</v>
      </c>
      <c r="H64" s="106">
        <v>0</v>
      </c>
      <c r="I64" s="106"/>
      <c r="J64" s="106">
        <v>0</v>
      </c>
      <c r="K64" s="106">
        <v>0</v>
      </c>
      <c r="L64" s="106">
        <v>0</v>
      </c>
      <c r="M64" s="247">
        <f>SUM(D64:L64)</f>
        <v>397657</v>
      </c>
      <c r="N64" s="136"/>
      <c r="O64" s="136"/>
      <c r="P64" s="136"/>
      <c r="Q64" s="136"/>
      <c r="R64" s="136"/>
      <c r="S64" s="136"/>
      <c r="T64" s="136"/>
      <c r="U64" s="136"/>
    </row>
    <row r="65" spans="2:21" ht="15" customHeight="1" x14ac:dyDescent="0.2">
      <c r="B65" s="517" t="s">
        <v>352</v>
      </c>
      <c r="C65" s="518"/>
      <c r="D65" s="247">
        <v>18237</v>
      </c>
      <c r="E65" s="138">
        <v>60511</v>
      </c>
      <c r="F65" s="247">
        <v>3447</v>
      </c>
      <c r="G65" s="247">
        <v>10</v>
      </c>
      <c r="H65" s="106">
        <v>0</v>
      </c>
      <c r="I65" s="106"/>
      <c r="J65" s="106">
        <v>0</v>
      </c>
      <c r="K65" s="106">
        <v>0</v>
      </c>
      <c r="L65" s="106">
        <v>0</v>
      </c>
      <c r="M65" s="247">
        <f>SUM(D65:L65)</f>
        <v>82205</v>
      </c>
      <c r="N65" s="136"/>
      <c r="O65" s="136"/>
      <c r="P65" s="136"/>
      <c r="Q65" s="136"/>
      <c r="R65" s="136"/>
      <c r="S65" s="136"/>
      <c r="T65" s="136"/>
      <c r="U65" s="136"/>
    </row>
    <row r="66" spans="2:21" ht="22.5" customHeight="1" x14ac:dyDescent="0.2">
      <c r="B66" s="641" t="s">
        <v>576</v>
      </c>
      <c r="C66" s="641"/>
      <c r="D66" s="247">
        <v>152308</v>
      </c>
      <c r="E66" s="138">
        <v>46521</v>
      </c>
      <c r="F66" s="247">
        <v>5154</v>
      </c>
      <c r="G66" s="247">
        <v>983</v>
      </c>
      <c r="H66" s="106">
        <v>0</v>
      </c>
      <c r="I66" s="106"/>
      <c r="J66" s="106">
        <v>0</v>
      </c>
      <c r="K66" s="106">
        <v>0</v>
      </c>
      <c r="L66" s="106">
        <v>0</v>
      </c>
      <c r="M66" s="247">
        <f>SUM(D66:L66)</f>
        <v>204966</v>
      </c>
      <c r="N66" s="136"/>
      <c r="O66" s="136"/>
      <c r="P66" s="136"/>
      <c r="Q66" s="136"/>
      <c r="R66" s="136"/>
      <c r="S66" s="136"/>
      <c r="T66" s="136"/>
      <c r="U66" s="136"/>
    </row>
    <row r="67" spans="2:21" ht="47.25" customHeight="1" x14ac:dyDescent="0.2">
      <c r="B67" s="641" t="s">
        <v>718</v>
      </c>
      <c r="C67" s="641"/>
      <c r="D67" s="106">
        <v>0</v>
      </c>
      <c r="E67" s="106">
        <v>0</v>
      </c>
      <c r="F67" s="106">
        <v>0</v>
      </c>
      <c r="G67" s="106">
        <v>0</v>
      </c>
      <c r="H67" s="106">
        <v>0</v>
      </c>
      <c r="I67" s="106"/>
      <c r="J67" s="106">
        <v>0</v>
      </c>
      <c r="K67" s="106">
        <v>0</v>
      </c>
      <c r="L67" s="106">
        <v>0</v>
      </c>
      <c r="M67" s="247">
        <f t="shared" ref="M67:M70" si="0">SUM(D67:L67)</f>
        <v>0</v>
      </c>
      <c r="N67" s="136"/>
      <c r="O67" s="136"/>
      <c r="P67" s="136"/>
      <c r="Q67" s="136"/>
      <c r="R67" s="136"/>
      <c r="S67" s="136"/>
      <c r="T67" s="136"/>
      <c r="U67" s="136"/>
    </row>
    <row r="68" spans="2:21" ht="30.6" customHeight="1" x14ac:dyDescent="0.2">
      <c r="B68" s="641" t="s">
        <v>719</v>
      </c>
      <c r="C68" s="641"/>
      <c r="D68" s="106">
        <v>0</v>
      </c>
      <c r="E68" s="106">
        <v>0</v>
      </c>
      <c r="F68" s="106">
        <v>0</v>
      </c>
      <c r="G68" s="106">
        <v>0</v>
      </c>
      <c r="H68" s="106">
        <v>0</v>
      </c>
      <c r="I68" s="106"/>
      <c r="J68" s="106">
        <v>0</v>
      </c>
      <c r="K68" s="106">
        <v>0</v>
      </c>
      <c r="L68" s="106">
        <v>0</v>
      </c>
      <c r="M68" s="247">
        <f t="shared" si="0"/>
        <v>0</v>
      </c>
      <c r="N68" s="136"/>
      <c r="O68" s="136"/>
      <c r="P68" s="136"/>
      <c r="Q68" s="136"/>
      <c r="R68" s="136"/>
      <c r="S68" s="136"/>
      <c r="T68" s="136"/>
      <c r="U68" s="136"/>
    </row>
    <row r="69" spans="2:21" ht="23.25" customHeight="1" x14ac:dyDescent="0.2">
      <c r="B69" s="641" t="s">
        <v>601</v>
      </c>
      <c r="C69" s="641"/>
      <c r="D69" s="106">
        <v>0</v>
      </c>
      <c r="E69" s="106">
        <v>0</v>
      </c>
      <c r="F69" s="106">
        <v>0</v>
      </c>
      <c r="G69" s="106">
        <v>0</v>
      </c>
      <c r="H69" s="106">
        <v>0</v>
      </c>
      <c r="I69" s="106"/>
      <c r="J69" s="106">
        <v>0</v>
      </c>
      <c r="K69" s="106">
        <v>0</v>
      </c>
      <c r="L69" s="106">
        <v>0</v>
      </c>
      <c r="M69" s="247">
        <f t="shared" si="0"/>
        <v>0</v>
      </c>
      <c r="N69" s="136"/>
      <c r="O69" s="136"/>
      <c r="P69" s="136"/>
      <c r="Q69" s="136"/>
      <c r="R69" s="136"/>
      <c r="S69" s="136"/>
      <c r="T69" s="136"/>
      <c r="U69" s="136"/>
    </row>
    <row r="70" spans="2:21" ht="23.25" customHeight="1" x14ac:dyDescent="0.2">
      <c r="B70" s="650" t="s">
        <v>671</v>
      </c>
      <c r="C70" s="651"/>
      <c r="D70" s="247">
        <v>0</v>
      </c>
      <c r="E70" s="106">
        <v>0</v>
      </c>
      <c r="F70" s="106">
        <v>0</v>
      </c>
      <c r="G70" s="106">
        <v>0</v>
      </c>
      <c r="H70" s="106">
        <v>0</v>
      </c>
      <c r="I70" s="106"/>
      <c r="J70" s="106">
        <v>0</v>
      </c>
      <c r="K70" s="106">
        <v>0</v>
      </c>
      <c r="L70" s="106">
        <v>0</v>
      </c>
      <c r="M70" s="247">
        <f t="shared" si="0"/>
        <v>0</v>
      </c>
      <c r="N70" s="136"/>
      <c r="O70" s="136"/>
      <c r="P70" s="136"/>
      <c r="Q70" s="136"/>
      <c r="R70" s="136"/>
      <c r="S70" s="136"/>
      <c r="T70" s="136"/>
      <c r="U70" s="136"/>
    </row>
    <row r="71" spans="2:21" ht="15" customHeight="1" x14ac:dyDescent="0.2">
      <c r="B71" s="652" t="s">
        <v>600</v>
      </c>
      <c r="C71" s="652"/>
      <c r="D71" s="168">
        <v>-1153819</v>
      </c>
      <c r="E71" s="168">
        <v>4302125</v>
      </c>
      <c r="F71" s="168">
        <v>998693</v>
      </c>
      <c r="G71" s="168">
        <v>178076</v>
      </c>
      <c r="H71" s="168">
        <v>0</v>
      </c>
      <c r="I71" s="168"/>
      <c r="J71" s="168">
        <v>0</v>
      </c>
      <c r="K71" s="168">
        <v>0</v>
      </c>
      <c r="L71" s="168">
        <v>128058</v>
      </c>
      <c r="M71" s="168">
        <f>D71+E71+F71+G71-L71</f>
        <v>4197017</v>
      </c>
      <c r="N71" s="309">
        <f>RZiS!E26</f>
        <v>4197017</v>
      </c>
      <c r="O71" s="136"/>
      <c r="P71" s="136"/>
      <c r="Q71" s="136"/>
      <c r="R71" s="136"/>
      <c r="S71" s="136"/>
      <c r="T71" s="136"/>
      <c r="U71" s="136"/>
    </row>
    <row r="72" spans="2:21" ht="15" customHeight="1" x14ac:dyDescent="0.2">
      <c r="B72" s="641" t="s">
        <v>496</v>
      </c>
      <c r="C72" s="641"/>
      <c r="D72" s="247">
        <v>115530</v>
      </c>
      <c r="E72" s="138">
        <v>1071562</v>
      </c>
      <c r="F72" s="209">
        <v>178764</v>
      </c>
      <c r="G72" s="247">
        <v>-489</v>
      </c>
      <c r="H72" s="106">
        <v>0</v>
      </c>
      <c r="I72" s="106"/>
      <c r="J72" s="106">
        <v>0</v>
      </c>
      <c r="K72" s="106">
        <v>0</v>
      </c>
      <c r="L72" s="106">
        <v>0</v>
      </c>
      <c r="M72" s="247">
        <f t="shared" ref="M72:M79" si="1">SUM(D72:L72)</f>
        <v>1365367</v>
      </c>
      <c r="N72" s="136"/>
      <c r="O72" s="136"/>
      <c r="P72" s="136"/>
      <c r="Q72" s="136"/>
      <c r="R72" s="136"/>
      <c r="S72" s="136"/>
      <c r="T72" s="136"/>
      <c r="U72" s="136"/>
    </row>
    <row r="73" spans="2:21" ht="15" customHeight="1" x14ac:dyDescent="0.2">
      <c r="B73" s="653" t="s">
        <v>720</v>
      </c>
      <c r="C73" s="654"/>
      <c r="D73" s="520">
        <v>0</v>
      </c>
      <c r="E73" s="521">
        <v>323131</v>
      </c>
      <c r="F73" s="522">
        <v>88828</v>
      </c>
      <c r="G73" s="106">
        <v>0</v>
      </c>
      <c r="H73" s="106">
        <v>0</v>
      </c>
      <c r="I73" s="106"/>
      <c r="J73" s="106">
        <v>0</v>
      </c>
      <c r="K73" s="106">
        <v>0</v>
      </c>
      <c r="L73" s="106">
        <v>0</v>
      </c>
      <c r="M73" s="247">
        <f t="shared" si="1"/>
        <v>411959</v>
      </c>
      <c r="N73" s="136"/>
      <c r="O73" s="136"/>
      <c r="P73" s="136"/>
      <c r="Q73" s="136"/>
      <c r="R73" s="136"/>
      <c r="S73" s="136"/>
      <c r="T73" s="136"/>
      <c r="U73" s="136"/>
    </row>
    <row r="74" spans="2:21" ht="15" customHeight="1" thickBot="1" x14ac:dyDescent="0.25">
      <c r="B74" s="655" t="s">
        <v>602</v>
      </c>
      <c r="C74" s="655"/>
      <c r="D74" s="519">
        <v>-1269349</v>
      </c>
      <c r="E74" s="519">
        <v>2875422</v>
      </c>
      <c r="F74" s="519">
        <v>731101</v>
      </c>
      <c r="G74" s="519">
        <v>178565</v>
      </c>
      <c r="H74" s="519">
        <v>0</v>
      </c>
      <c r="I74" s="519"/>
      <c r="J74" s="519">
        <v>0</v>
      </c>
      <c r="K74" s="519">
        <v>0</v>
      </c>
      <c r="L74" s="168">
        <v>96048</v>
      </c>
      <c r="M74" s="168">
        <f>D74+E74+F74+G74-L74</f>
        <v>2419691</v>
      </c>
      <c r="N74" s="309">
        <f>RZiS!E34</f>
        <v>2419691</v>
      </c>
      <c r="O74" s="136"/>
      <c r="P74" s="136"/>
      <c r="Q74" s="136"/>
      <c r="R74" s="136"/>
      <c r="S74" s="136"/>
      <c r="T74" s="136"/>
      <c r="U74" s="136"/>
    </row>
    <row r="75" spans="2:21" ht="15" customHeight="1" x14ac:dyDescent="0.2">
      <c r="B75" s="656" t="s">
        <v>603</v>
      </c>
      <c r="C75" s="656"/>
      <c r="D75" s="523">
        <v>11884246</v>
      </c>
      <c r="E75" s="523">
        <v>19292161</v>
      </c>
      <c r="F75" s="523">
        <v>3319053</v>
      </c>
      <c r="G75" s="523">
        <v>97707</v>
      </c>
      <c r="H75" s="523">
        <v>0</v>
      </c>
      <c r="I75" s="523"/>
      <c r="J75" s="523">
        <v>0</v>
      </c>
      <c r="K75" s="523">
        <v>0</v>
      </c>
      <c r="L75" s="523">
        <v>0</v>
      </c>
      <c r="M75" s="168">
        <f t="shared" si="1"/>
        <v>34593167</v>
      </c>
      <c r="N75" s="309">
        <f>Aktywa!E27</f>
        <v>34593167</v>
      </c>
      <c r="O75" s="136"/>
      <c r="P75" s="136"/>
      <c r="Q75" s="136"/>
      <c r="R75" s="136"/>
      <c r="S75" s="136"/>
      <c r="T75" s="136"/>
      <c r="U75" s="136"/>
    </row>
    <row r="76" spans="2:21" ht="15" customHeight="1" x14ac:dyDescent="0.2">
      <c r="B76" s="641" t="s">
        <v>583</v>
      </c>
      <c r="C76" s="641"/>
      <c r="D76" s="247">
        <v>11884246</v>
      </c>
      <c r="E76" s="138">
        <v>19292161</v>
      </c>
      <c r="F76" s="247">
        <v>3319053</v>
      </c>
      <c r="G76" s="247">
        <v>97707</v>
      </c>
      <c r="H76" s="106">
        <v>0</v>
      </c>
      <c r="I76" s="106"/>
      <c r="J76" s="106">
        <v>0</v>
      </c>
      <c r="K76" s="106">
        <v>0</v>
      </c>
      <c r="L76" s="106">
        <v>0</v>
      </c>
      <c r="M76" s="247">
        <f t="shared" si="1"/>
        <v>34593167</v>
      </c>
      <c r="N76" s="136"/>
      <c r="O76" s="136"/>
      <c r="P76" s="136"/>
      <c r="Q76" s="136"/>
      <c r="R76" s="136"/>
      <c r="S76" s="136"/>
      <c r="T76" s="136"/>
      <c r="U76" s="136"/>
    </row>
    <row r="77" spans="2:21" ht="15" customHeight="1" x14ac:dyDescent="0.2">
      <c r="B77" s="641" t="s">
        <v>604</v>
      </c>
      <c r="C77" s="641"/>
      <c r="D77" s="106">
        <v>0</v>
      </c>
      <c r="E77" s="106">
        <v>0</v>
      </c>
      <c r="F77" s="106">
        <v>0</v>
      </c>
      <c r="G77" s="106">
        <v>0</v>
      </c>
      <c r="H77" s="106">
        <v>0</v>
      </c>
      <c r="I77" s="106"/>
      <c r="J77" s="106">
        <v>0</v>
      </c>
      <c r="K77" s="106">
        <v>0</v>
      </c>
      <c r="L77" s="106">
        <v>0</v>
      </c>
      <c r="M77" s="247">
        <f t="shared" si="1"/>
        <v>0</v>
      </c>
      <c r="N77" s="136"/>
      <c r="O77" s="136"/>
      <c r="P77" s="136"/>
      <c r="Q77" s="136"/>
      <c r="R77" s="136"/>
      <c r="S77" s="136"/>
      <c r="T77" s="136"/>
      <c r="U77" s="136"/>
    </row>
    <row r="78" spans="2:21" ht="15" customHeight="1" x14ac:dyDescent="0.2">
      <c r="B78" s="652" t="s">
        <v>605</v>
      </c>
      <c r="C78" s="652"/>
      <c r="D78" s="523">
        <v>1919733</v>
      </c>
      <c r="E78" s="523">
        <v>6058856</v>
      </c>
      <c r="F78" s="523">
        <v>1340185</v>
      </c>
      <c r="G78" s="523">
        <v>127651</v>
      </c>
      <c r="H78" s="523">
        <v>0</v>
      </c>
      <c r="I78" s="523"/>
      <c r="J78" s="523">
        <v>0</v>
      </c>
      <c r="K78" s="523">
        <v>0</v>
      </c>
      <c r="L78" s="523">
        <v>0</v>
      </c>
      <c r="M78" s="168">
        <f t="shared" si="1"/>
        <v>9446425</v>
      </c>
      <c r="N78" s="309">
        <f>Pasywa!E21+Pasywa!E13</f>
        <v>9446425</v>
      </c>
      <c r="O78" s="136"/>
      <c r="P78" s="136"/>
      <c r="Q78" s="136"/>
      <c r="R78" s="136"/>
      <c r="S78" s="136"/>
      <c r="T78" s="136"/>
      <c r="U78" s="136"/>
    </row>
    <row r="79" spans="2:21" ht="15" customHeight="1" x14ac:dyDescent="0.2">
      <c r="B79" s="641" t="s">
        <v>606</v>
      </c>
      <c r="C79" s="641"/>
      <c r="D79" s="247">
        <v>1919733</v>
      </c>
      <c r="E79" s="138">
        <v>6058856</v>
      </c>
      <c r="F79" s="247">
        <v>1340185</v>
      </c>
      <c r="G79" s="247">
        <v>127651</v>
      </c>
      <c r="H79" s="106">
        <v>0</v>
      </c>
      <c r="I79" s="106"/>
      <c r="J79" s="106">
        <v>0</v>
      </c>
      <c r="K79" s="106">
        <v>0</v>
      </c>
      <c r="L79" s="106">
        <v>0</v>
      </c>
      <c r="M79" s="247">
        <f t="shared" si="1"/>
        <v>9446425</v>
      </c>
      <c r="N79" s="136"/>
      <c r="O79" s="136"/>
      <c r="P79" s="136"/>
      <c r="Q79" s="136"/>
      <c r="R79" s="136"/>
      <c r="S79" s="136"/>
      <c r="T79" s="136"/>
      <c r="U79" s="136"/>
    </row>
    <row r="80" spans="2:21" ht="15.75" customHeight="1" thickBot="1" x14ac:dyDescent="0.25">
      <c r="B80" s="658" t="s">
        <v>607</v>
      </c>
      <c r="C80" s="658"/>
      <c r="D80" s="524">
        <v>0</v>
      </c>
      <c r="E80" s="525">
        <v>0</v>
      </c>
      <c r="F80" s="524">
        <v>0</v>
      </c>
      <c r="G80" s="524">
        <v>0</v>
      </c>
      <c r="H80" s="533">
        <v>0</v>
      </c>
      <c r="I80" s="533"/>
      <c r="J80" s="533">
        <v>0</v>
      </c>
      <c r="K80" s="533">
        <v>0</v>
      </c>
      <c r="L80" s="533">
        <v>0</v>
      </c>
      <c r="M80" s="524">
        <v>0</v>
      </c>
      <c r="N80" s="136"/>
      <c r="O80" s="136"/>
      <c r="P80" s="136"/>
      <c r="Q80" s="136"/>
      <c r="R80" s="136"/>
      <c r="S80" s="136"/>
      <c r="T80" s="136"/>
      <c r="U80" s="136"/>
    </row>
    <row r="81" spans="2:21" ht="15" customHeight="1" x14ac:dyDescent="0.2">
      <c r="B81" s="659" t="s">
        <v>608</v>
      </c>
      <c r="C81" s="660"/>
      <c r="D81" s="526"/>
      <c r="E81" s="526"/>
      <c r="F81" s="526"/>
      <c r="G81" s="526"/>
      <c r="H81" s="526"/>
      <c r="I81" s="526"/>
      <c r="J81" s="526"/>
      <c r="K81" s="526"/>
      <c r="L81" s="526"/>
      <c r="M81" s="527"/>
      <c r="N81" s="136"/>
      <c r="O81" s="136"/>
      <c r="P81" s="136"/>
      <c r="Q81" s="136"/>
      <c r="R81" s="136"/>
      <c r="S81" s="136"/>
      <c r="T81" s="136"/>
      <c r="U81" s="136"/>
    </row>
    <row r="82" spans="2:21" ht="15" customHeight="1" x14ac:dyDescent="0.2">
      <c r="B82" s="661" t="s">
        <v>609</v>
      </c>
      <c r="C82" s="661"/>
      <c r="D82" s="523">
        <v>1228655</v>
      </c>
      <c r="E82" s="523">
        <v>237035</v>
      </c>
      <c r="F82" s="523">
        <v>1181337</v>
      </c>
      <c r="G82" s="523">
        <f t="shared" ref="G82" si="2">G83+G84</f>
        <v>2059</v>
      </c>
      <c r="H82" s="523">
        <v>0</v>
      </c>
      <c r="I82" s="523"/>
      <c r="J82" s="523">
        <v>0</v>
      </c>
      <c r="K82" s="523">
        <v>0</v>
      </c>
      <c r="L82" s="523">
        <v>0</v>
      </c>
      <c r="M82" s="523">
        <f>SUM(D82:G82)</f>
        <v>2649086</v>
      </c>
      <c r="N82" s="136"/>
      <c r="O82" s="136"/>
      <c r="P82" s="136"/>
      <c r="Q82" s="136"/>
      <c r="R82" s="136"/>
      <c r="S82" s="136"/>
      <c r="T82" s="136"/>
      <c r="U82" s="136"/>
    </row>
    <row r="83" spans="2:21" ht="15" customHeight="1" x14ac:dyDescent="0.2">
      <c r="B83" s="649" t="s">
        <v>610</v>
      </c>
      <c r="C83" s="649"/>
      <c r="D83" s="247">
        <v>86674</v>
      </c>
      <c r="E83" s="138">
        <v>233832</v>
      </c>
      <c r="F83" s="247">
        <v>9776</v>
      </c>
      <c r="G83" s="247">
        <v>2059</v>
      </c>
      <c r="H83" s="106">
        <v>0</v>
      </c>
      <c r="I83" s="106"/>
      <c r="J83" s="106">
        <v>0</v>
      </c>
      <c r="K83" s="106">
        <v>0</v>
      </c>
      <c r="L83" s="106">
        <v>0</v>
      </c>
      <c r="M83" s="247">
        <f t="shared" ref="M83:M88" si="3">SUM(D83:L83)</f>
        <v>332341</v>
      </c>
      <c r="N83" s="136"/>
      <c r="O83" s="136"/>
      <c r="P83" s="136"/>
      <c r="Q83" s="136"/>
      <c r="R83" s="136"/>
      <c r="S83" s="136"/>
      <c r="T83" s="136"/>
      <c r="U83" s="136"/>
    </row>
    <row r="84" spans="2:21" ht="15" customHeight="1" x14ac:dyDescent="0.2">
      <c r="B84" s="649" t="s">
        <v>611</v>
      </c>
      <c r="C84" s="649"/>
      <c r="D84" s="247">
        <v>1141981</v>
      </c>
      <c r="E84" s="138">
        <v>3203</v>
      </c>
      <c r="F84" s="247">
        <v>1171561</v>
      </c>
      <c r="G84" s="247">
        <v>0</v>
      </c>
      <c r="H84" s="106">
        <v>0</v>
      </c>
      <c r="I84" s="106"/>
      <c r="J84" s="106">
        <v>0</v>
      </c>
      <c r="K84" s="106">
        <v>0</v>
      </c>
      <c r="L84" s="106">
        <v>0</v>
      </c>
      <c r="M84" s="247">
        <f t="shared" si="3"/>
        <v>2316745</v>
      </c>
      <c r="N84" s="136"/>
      <c r="O84" s="136"/>
      <c r="P84" s="136"/>
      <c r="Q84" s="136"/>
      <c r="R84" s="136"/>
      <c r="S84" s="136"/>
      <c r="T84" s="136"/>
      <c r="U84" s="136"/>
    </row>
    <row r="85" spans="2:21" ht="15" customHeight="1" x14ac:dyDescent="0.2">
      <c r="B85" s="649" t="s">
        <v>612</v>
      </c>
      <c r="C85" s="649"/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/>
      <c r="J85" s="106">
        <v>0</v>
      </c>
      <c r="K85" s="106">
        <v>0</v>
      </c>
      <c r="L85" s="106">
        <v>0</v>
      </c>
      <c r="M85" s="247">
        <f t="shared" si="3"/>
        <v>0</v>
      </c>
      <c r="N85" s="136"/>
      <c r="O85" s="136"/>
      <c r="P85" s="136"/>
      <c r="Q85" s="136"/>
      <c r="R85" s="136"/>
      <c r="S85" s="136"/>
      <c r="T85" s="136"/>
      <c r="U85" s="136"/>
    </row>
    <row r="86" spans="2:21" x14ac:dyDescent="0.2">
      <c r="B86" s="649" t="s">
        <v>613</v>
      </c>
      <c r="C86" s="649"/>
      <c r="D86" s="247">
        <v>455126</v>
      </c>
      <c r="E86" s="138">
        <v>255732</v>
      </c>
      <c r="F86" s="247">
        <v>624950</v>
      </c>
      <c r="G86" s="247">
        <v>44774</v>
      </c>
      <c r="H86" s="106">
        <v>0</v>
      </c>
      <c r="I86" s="106"/>
      <c r="J86" s="106">
        <v>0</v>
      </c>
      <c r="K86" s="106">
        <v>0</v>
      </c>
      <c r="L86" s="106">
        <v>0</v>
      </c>
      <c r="M86" s="247">
        <f t="shared" si="3"/>
        <v>1380582</v>
      </c>
      <c r="N86" s="326">
        <f>RZiS!E8</f>
        <v>1380582</v>
      </c>
      <c r="O86" s="136"/>
      <c r="P86" s="136"/>
      <c r="Q86" s="136"/>
      <c r="R86" s="136"/>
      <c r="S86" s="136"/>
      <c r="T86" s="136"/>
      <c r="U86" s="136"/>
    </row>
    <row r="87" spans="2:21" ht="15" customHeight="1" x14ac:dyDescent="0.2">
      <c r="B87" s="649" t="s">
        <v>614</v>
      </c>
      <c r="C87" s="649"/>
      <c r="D87" s="106">
        <v>0</v>
      </c>
      <c r="E87" s="106">
        <v>0</v>
      </c>
      <c r="F87" s="106">
        <v>0</v>
      </c>
      <c r="G87" s="106">
        <v>0</v>
      </c>
      <c r="H87" s="106">
        <v>0</v>
      </c>
      <c r="I87" s="106"/>
      <c r="J87" s="106">
        <v>0</v>
      </c>
      <c r="K87" s="106">
        <v>0</v>
      </c>
      <c r="L87" s="106">
        <v>0</v>
      </c>
      <c r="M87" s="247">
        <f t="shared" si="3"/>
        <v>0</v>
      </c>
      <c r="N87" s="136"/>
      <c r="O87" s="136"/>
      <c r="P87" s="136"/>
      <c r="Q87" s="136"/>
      <c r="R87" s="136"/>
      <c r="S87" s="136"/>
      <c r="T87" s="136"/>
      <c r="U87" s="136"/>
    </row>
    <row r="88" spans="2:21" ht="15" customHeight="1" x14ac:dyDescent="0.2">
      <c r="B88" s="649" t="s">
        <v>615</v>
      </c>
      <c r="C88" s="649"/>
      <c r="D88" s="247">
        <v>0</v>
      </c>
      <c r="E88" s="138">
        <v>0</v>
      </c>
      <c r="F88" s="247">
        <v>0</v>
      </c>
      <c r="G88" s="247">
        <v>0</v>
      </c>
      <c r="H88" s="106">
        <v>0</v>
      </c>
      <c r="I88" s="106"/>
      <c r="J88" s="106">
        <v>0</v>
      </c>
      <c r="K88" s="106">
        <v>0</v>
      </c>
      <c r="L88" s="106">
        <v>0</v>
      </c>
      <c r="M88" s="247">
        <f t="shared" si="3"/>
        <v>0</v>
      </c>
      <c r="N88" s="136"/>
      <c r="O88" s="136"/>
      <c r="P88" s="136"/>
      <c r="Q88" s="136"/>
      <c r="R88" s="136"/>
      <c r="S88" s="136"/>
      <c r="T88" s="136"/>
      <c r="U88" s="136"/>
    </row>
    <row r="89" spans="2:21" ht="36" customHeight="1" x14ac:dyDescent="0.2">
      <c r="B89" s="11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</row>
    <row r="90" spans="2:21" ht="15" customHeight="1" x14ac:dyDescent="0.2">
      <c r="B90" s="11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</row>
    <row r="91" spans="2:21" x14ac:dyDescent="0.2">
      <c r="B91" s="11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</row>
    <row r="92" spans="2:21" s="51" customFormat="1" x14ac:dyDescent="0.2">
      <c r="B92" s="54" t="s">
        <v>848</v>
      </c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</row>
    <row r="93" spans="2:21" ht="25.35" customHeight="1" x14ac:dyDescent="0.2">
      <c r="B93" s="103" t="s">
        <v>353</v>
      </c>
      <c r="C93" s="515" t="s">
        <v>222</v>
      </c>
      <c r="D93" s="73" t="s">
        <v>337</v>
      </c>
      <c r="E93" s="515" t="s">
        <v>706</v>
      </c>
      <c r="F93" s="515" t="s">
        <v>707</v>
      </c>
      <c r="G93" s="51"/>
      <c r="H93" s="51"/>
      <c r="I93" s="51"/>
      <c r="J93" s="51"/>
      <c r="K93" s="51"/>
      <c r="L93" s="51"/>
      <c r="M93" s="51"/>
    </row>
    <row r="94" spans="2:21" ht="32.549999999999997" customHeight="1" x14ac:dyDescent="0.2">
      <c r="B94" s="2" t="s">
        <v>333</v>
      </c>
      <c r="C94" s="245">
        <v>44821970</v>
      </c>
      <c r="D94" s="245">
        <f>E94+F94</f>
        <v>3512057</v>
      </c>
      <c r="E94" s="245">
        <v>3241856</v>
      </c>
      <c r="F94" s="245">
        <v>270201</v>
      </c>
      <c r="G94" s="383"/>
    </row>
    <row r="95" spans="2:21" ht="25.35" customHeight="1" x14ac:dyDescent="0.2">
      <c r="B95" s="2" t="s">
        <v>111</v>
      </c>
      <c r="C95" s="106">
        <v>0</v>
      </c>
      <c r="D95" s="106">
        <v>0</v>
      </c>
      <c r="E95" s="106">
        <v>0</v>
      </c>
      <c r="F95" s="106">
        <v>0</v>
      </c>
      <c r="G95" s="383"/>
    </row>
    <row r="96" spans="2:21" ht="25.35" customHeight="1" x14ac:dyDescent="0.2">
      <c r="B96" s="2" t="s">
        <v>334</v>
      </c>
      <c r="C96" s="106">
        <v>0</v>
      </c>
      <c r="D96" s="106">
        <v>0</v>
      </c>
      <c r="E96" s="106">
        <v>0</v>
      </c>
      <c r="F96" s="106">
        <v>0</v>
      </c>
      <c r="G96" s="513"/>
    </row>
    <row r="97" spans="2:13" ht="25.35" customHeight="1" x14ac:dyDescent="0.2">
      <c r="B97" s="2" t="s">
        <v>335</v>
      </c>
      <c r="C97" s="106">
        <v>0</v>
      </c>
      <c r="D97" s="106">
        <v>0</v>
      </c>
      <c r="E97" s="106">
        <v>0</v>
      </c>
      <c r="F97" s="106">
        <v>0</v>
      </c>
      <c r="G97" s="383"/>
    </row>
    <row r="98" spans="2:13" ht="25.35" customHeight="1" x14ac:dyDescent="0.2">
      <c r="B98" s="2" t="s">
        <v>336</v>
      </c>
      <c r="C98" s="106">
        <v>0</v>
      </c>
      <c r="D98" s="106">
        <v>0</v>
      </c>
      <c r="E98" s="106">
        <v>0</v>
      </c>
      <c r="F98" s="106">
        <v>0</v>
      </c>
      <c r="G98" s="513"/>
    </row>
    <row r="100" spans="2:13" ht="13.2" x14ac:dyDescent="0.25">
      <c r="B100" s="54" t="s">
        <v>784</v>
      </c>
      <c r="L100"/>
      <c r="M100"/>
    </row>
    <row r="101" spans="2:13" ht="13.2" x14ac:dyDescent="0.25">
      <c r="B101" s="103" t="s">
        <v>353</v>
      </c>
      <c r="C101" s="515" t="s">
        <v>222</v>
      </c>
      <c r="D101" s="73" t="s">
        <v>337</v>
      </c>
      <c r="E101" s="515" t="s">
        <v>706</v>
      </c>
      <c r="F101" s="515" t="s">
        <v>707</v>
      </c>
      <c r="L101"/>
      <c r="M101"/>
    </row>
    <row r="102" spans="2:13" ht="13.2" x14ac:dyDescent="0.25">
      <c r="B102" s="2" t="s">
        <v>333</v>
      </c>
      <c r="C102" s="245">
        <v>42824524</v>
      </c>
      <c r="D102" s="245">
        <v>3141466</v>
      </c>
      <c r="E102" s="245">
        <v>2692059</v>
      </c>
      <c r="F102" s="245">
        <v>449407</v>
      </c>
      <c r="G102" s="51"/>
      <c r="H102"/>
      <c r="I102"/>
      <c r="J102"/>
      <c r="K102"/>
      <c r="L102"/>
      <c r="M102"/>
    </row>
    <row r="103" spans="2:13" ht="36.75" customHeight="1" x14ac:dyDescent="0.25">
      <c r="B103" s="2" t="s">
        <v>111</v>
      </c>
      <c r="C103" s="106">
        <v>0</v>
      </c>
      <c r="D103" s="106">
        <v>0</v>
      </c>
      <c r="E103" s="106">
        <v>0</v>
      </c>
      <c r="F103" s="106">
        <v>0</v>
      </c>
      <c r="G103" s="383"/>
      <c r="H103"/>
      <c r="I103"/>
      <c r="J103"/>
      <c r="K103"/>
      <c r="L103"/>
      <c r="M103"/>
    </row>
    <row r="104" spans="2:13" ht="20.100000000000001" customHeight="1" x14ac:dyDescent="0.25">
      <c r="B104" s="2" t="s">
        <v>334</v>
      </c>
      <c r="C104" s="106">
        <v>0</v>
      </c>
      <c r="D104" s="106">
        <v>0</v>
      </c>
      <c r="E104" s="106">
        <v>0</v>
      </c>
      <c r="F104" s="106">
        <v>0</v>
      </c>
      <c r="G104" s="383"/>
      <c r="H104"/>
      <c r="I104"/>
      <c r="J104"/>
      <c r="K104"/>
      <c r="L104"/>
      <c r="M104"/>
    </row>
    <row r="105" spans="2:13" ht="28.5" customHeight="1" x14ac:dyDescent="0.25">
      <c r="B105" s="2" t="s">
        <v>335</v>
      </c>
      <c r="C105" s="106">
        <v>0</v>
      </c>
      <c r="D105" s="106">
        <v>0</v>
      </c>
      <c r="E105" s="106">
        <v>0</v>
      </c>
      <c r="F105" s="106">
        <v>0</v>
      </c>
      <c r="G105" s="383"/>
      <c r="H105"/>
      <c r="I105"/>
      <c r="J105"/>
      <c r="K105"/>
      <c r="L105"/>
      <c r="M105"/>
    </row>
    <row r="106" spans="2:13" ht="13.2" x14ac:dyDescent="0.25">
      <c r="B106" s="2" t="s">
        <v>336</v>
      </c>
      <c r="C106" s="106">
        <v>0</v>
      </c>
      <c r="D106" s="106">
        <v>0</v>
      </c>
      <c r="E106" s="106">
        <v>0</v>
      </c>
      <c r="F106" s="106">
        <v>0</v>
      </c>
      <c r="G106" s="513"/>
      <c r="H106"/>
      <c r="I106"/>
      <c r="J106"/>
      <c r="K106"/>
      <c r="L106"/>
      <c r="M106"/>
    </row>
    <row r="107" spans="2:13" ht="13.2" x14ac:dyDescent="0.25">
      <c r="B107" s="2" t="s">
        <v>336</v>
      </c>
      <c r="C107" s="106">
        <v>0</v>
      </c>
      <c r="D107" s="106">
        <v>0</v>
      </c>
      <c r="E107" s="106">
        <v>0</v>
      </c>
      <c r="F107" s="106">
        <v>0</v>
      </c>
      <c r="G107" s="383"/>
      <c r="H107"/>
      <c r="I107"/>
      <c r="J107"/>
      <c r="K107"/>
      <c r="L107"/>
      <c r="M107"/>
    </row>
    <row r="109" spans="2:13" ht="13.2" x14ac:dyDescent="0.25">
      <c r="B109" s="54"/>
      <c r="L109"/>
      <c r="M109"/>
    </row>
    <row r="110" spans="2:13" ht="11.25" customHeight="1" x14ac:dyDescent="0.25">
      <c r="B110"/>
      <c r="C110"/>
      <c r="D110"/>
      <c r="E110"/>
      <c r="F110"/>
      <c r="G110"/>
      <c r="H110"/>
      <c r="I110"/>
      <c r="J110"/>
      <c r="K110"/>
      <c r="L110"/>
      <c r="M110"/>
    </row>
    <row r="111" spans="2:13" ht="13.2" x14ac:dyDescent="0.25">
      <c r="B111" s="54" t="s">
        <v>223</v>
      </c>
      <c r="G111"/>
      <c r="H111"/>
      <c r="I111"/>
      <c r="J111"/>
      <c r="K111"/>
      <c r="L111"/>
      <c r="M111"/>
    </row>
    <row r="112" spans="2:13" x14ac:dyDescent="0.2">
      <c r="B112" s="54"/>
    </row>
    <row r="113" spans="2:6" x14ac:dyDescent="0.2">
      <c r="B113" s="645"/>
      <c r="C113" s="647" t="s">
        <v>832</v>
      </c>
      <c r="D113" s="648"/>
      <c r="E113" s="647" t="s">
        <v>775</v>
      </c>
      <c r="F113" s="648"/>
    </row>
    <row r="114" spans="2:6" x14ac:dyDescent="0.2">
      <c r="B114" s="646"/>
      <c r="C114" s="115" t="s">
        <v>228</v>
      </c>
      <c r="D114" s="115" t="s">
        <v>224</v>
      </c>
      <c r="E114" s="115" t="s">
        <v>228</v>
      </c>
      <c r="F114" s="115" t="s">
        <v>224</v>
      </c>
    </row>
    <row r="115" spans="2:6" x14ac:dyDescent="0.2">
      <c r="B115" s="50" t="s">
        <v>225</v>
      </c>
      <c r="C115" s="153">
        <v>44821970</v>
      </c>
      <c r="D115" s="529">
        <f>C115/$C$119</f>
        <v>0.92733779455206578</v>
      </c>
      <c r="E115" s="153">
        <v>42824524</v>
      </c>
      <c r="F115" s="529">
        <v>0.91720727577130767</v>
      </c>
    </row>
    <row r="116" spans="2:6" x14ac:dyDescent="0.2">
      <c r="B116" s="50" t="s">
        <v>226</v>
      </c>
      <c r="C116" s="153">
        <f>C117+C118</f>
        <v>3512057</v>
      </c>
      <c r="D116" s="529">
        <f t="shared" ref="D116:D118" si="4">C116/$C$119</f>
        <v>7.2662205447934225E-2</v>
      </c>
      <c r="E116" s="153">
        <f>E117+E118</f>
        <v>3141466</v>
      </c>
      <c r="F116" s="529">
        <v>8.2792724228692313E-2</v>
      </c>
    </row>
    <row r="117" spans="2:6" x14ac:dyDescent="0.2">
      <c r="B117" s="46" t="s">
        <v>227</v>
      </c>
      <c r="C117" s="170">
        <v>3241856</v>
      </c>
      <c r="D117" s="529">
        <f t="shared" si="4"/>
        <v>6.7071920160925141E-2</v>
      </c>
      <c r="E117" s="170">
        <v>2692059</v>
      </c>
      <c r="F117" s="529">
        <v>5.7920424081356371E-2</v>
      </c>
    </row>
    <row r="118" spans="2:6" x14ac:dyDescent="0.2">
      <c r="B118" s="46" t="s">
        <v>707</v>
      </c>
      <c r="C118" s="170">
        <v>270201</v>
      </c>
      <c r="D118" s="529">
        <f t="shared" si="4"/>
        <v>5.5902852870090879E-3</v>
      </c>
      <c r="E118" s="170">
        <v>449407</v>
      </c>
      <c r="F118" s="529">
        <v>2.4872300147335935E-2</v>
      </c>
    </row>
    <row r="119" spans="2:6" x14ac:dyDescent="0.2">
      <c r="B119" s="512" t="s">
        <v>28</v>
      </c>
      <c r="C119" s="153">
        <f>C115+C116</f>
        <v>48334027</v>
      </c>
      <c r="D119" s="529">
        <v>1</v>
      </c>
      <c r="E119" s="153">
        <f>E115+E116</f>
        <v>45965990</v>
      </c>
      <c r="F119" s="529">
        <v>1</v>
      </c>
    </row>
    <row r="120" spans="2:6" ht="13.2" x14ac:dyDescent="0.25">
      <c r="B120"/>
      <c r="C120" s="320">
        <v>2.0000003278255463E-2</v>
      </c>
      <c r="D120" s="383"/>
      <c r="E120" s="320">
        <v>0</v>
      </c>
      <c r="F120" s="383"/>
    </row>
  </sheetData>
  <mergeCells count="71">
    <mergeCell ref="B81:C81"/>
    <mergeCell ref="B82:C82"/>
    <mergeCell ref="B29:C29"/>
    <mergeCell ref="B23:B24"/>
    <mergeCell ref="B25:B26"/>
    <mergeCell ref="B27:C27"/>
    <mergeCell ref="B28:C28"/>
    <mergeCell ref="B31:C31"/>
    <mergeCell ref="B42:C42"/>
    <mergeCell ref="B43:C43"/>
    <mergeCell ref="B74:C74"/>
    <mergeCell ref="B62:C62"/>
    <mergeCell ref="B63:C63"/>
    <mergeCell ref="B67:C67"/>
    <mergeCell ref="B68:C68"/>
    <mergeCell ref="B66:C66"/>
    <mergeCell ref="B76:C76"/>
    <mergeCell ref="B77:C77"/>
    <mergeCell ref="B85:C85"/>
    <mergeCell ref="B86:C86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78:C78"/>
    <mergeCell ref="B79:C79"/>
    <mergeCell ref="B80:C80"/>
    <mergeCell ref="L56:L57"/>
    <mergeCell ref="M56:M57"/>
    <mergeCell ref="B58:B59"/>
    <mergeCell ref="B60:B61"/>
    <mergeCell ref="B75:C75"/>
    <mergeCell ref="B56:C57"/>
    <mergeCell ref="D56:H56"/>
    <mergeCell ref="J56:J57"/>
    <mergeCell ref="K56:K57"/>
    <mergeCell ref="B69:C69"/>
    <mergeCell ref="B70:C70"/>
    <mergeCell ref="B71:C71"/>
    <mergeCell ref="B72:C72"/>
    <mergeCell ref="B73:C73"/>
    <mergeCell ref="B64:C64"/>
    <mergeCell ref="B34:C34"/>
    <mergeCell ref="B113:B114"/>
    <mergeCell ref="C113:D113"/>
    <mergeCell ref="E113:F113"/>
    <mergeCell ref="B87:C87"/>
    <mergeCell ref="B88:C88"/>
    <mergeCell ref="B35:C35"/>
    <mergeCell ref="B84:C84"/>
    <mergeCell ref="B36:C36"/>
    <mergeCell ref="B37:C37"/>
    <mergeCell ref="B38:C38"/>
    <mergeCell ref="B39:C39"/>
    <mergeCell ref="B40:C40"/>
    <mergeCell ref="B41:C41"/>
    <mergeCell ref="B83:C83"/>
    <mergeCell ref="B53:C53"/>
    <mergeCell ref="B32:C32"/>
    <mergeCell ref="B33:C33"/>
    <mergeCell ref="L21:L22"/>
    <mergeCell ref="K21:K22"/>
    <mergeCell ref="M21:M22"/>
    <mergeCell ref="D21:H21"/>
    <mergeCell ref="J21:J22"/>
    <mergeCell ref="B21:C22"/>
  </mergeCells>
  <phoneticPr fontId="28" type="noConversion"/>
  <pageMargins left="0.7" right="0.7" top="0.75" bottom="0.75" header="0.3" footer="0.3"/>
  <pageSetup paperSize="9" scale="38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A0742EB5AE84F8541A83538216CA2" ma:contentTypeVersion="7" ma:contentTypeDescription="Utwórz nowy dokument." ma:contentTypeScope="" ma:versionID="a3d7bdb68db8835c122a6c1fb605f5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4085628a59a80f6f21251454f0c026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6629C00-9E27-4D81-A43F-E4058F52BE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AC376F-1668-4EF6-8AEA-3AA5FDCEF3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B33703A-D549-4781-8EEA-D6219AC17B5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35</vt:i4>
      </vt:variant>
      <vt:variant>
        <vt:lpstr>Zakresy nazwane</vt:lpstr>
      </vt:variant>
      <vt:variant>
        <vt:i4>33</vt:i4>
      </vt:variant>
    </vt:vector>
  </HeadingPairs>
  <TitlesOfParts>
    <vt:vector size="68" baseType="lpstr">
      <vt:lpstr>Dane podstawowe</vt:lpstr>
      <vt:lpstr>wybrane dane finansowe</vt:lpstr>
      <vt:lpstr>RZiS</vt:lpstr>
      <vt:lpstr>Skr. spr. z cał. dochodów</vt:lpstr>
      <vt:lpstr>Aktywa</vt:lpstr>
      <vt:lpstr>Pasywa</vt:lpstr>
      <vt:lpstr>ZZwK</vt:lpstr>
      <vt:lpstr>RPP</vt:lpstr>
      <vt:lpstr>NOTA 1,2 - Przychody i segmenty</vt:lpstr>
      <vt:lpstr>NOTA 3 - Koszty rodzajowe</vt:lpstr>
      <vt:lpstr>NOTA 4 - PPO i PKO</vt:lpstr>
      <vt:lpstr>NOTA 5 - PF i KF</vt:lpstr>
      <vt:lpstr>NOTA 6 - Podatek </vt:lpstr>
      <vt:lpstr>NOTA 7 - Zysk na 1 akcję</vt:lpstr>
      <vt:lpstr>NOTA 9 -Rzeczowe aktywa trwałe</vt:lpstr>
      <vt:lpstr>NOTA 10 -Wartości niematerialne</vt:lpstr>
      <vt:lpstr>NOTA 11 - Wartość firmy</vt:lpstr>
      <vt:lpstr>NOTA 12 - Inwest. jedn. stow.</vt:lpstr>
      <vt:lpstr>NOTA 13 - Akcje udziały w jedn.</vt:lpstr>
      <vt:lpstr>NOTA 14 -Pozostałe aktywa finan</vt:lpstr>
      <vt:lpstr>NOTA 15,16 - Należności</vt:lpstr>
      <vt:lpstr>NOTA 17 - RMK</vt:lpstr>
      <vt:lpstr>NOTA 18 - Środki pieniężne</vt:lpstr>
      <vt:lpstr>NOTA  19,20,21,22 - Kapitały</vt:lpstr>
      <vt:lpstr>NOTA 23 Kredyty i pożyczki</vt:lpstr>
      <vt:lpstr>NOTA 24 Zobowiązania finansowe</vt:lpstr>
      <vt:lpstr>NOTA 25,26 - Zob. hand i pozost</vt:lpstr>
      <vt:lpstr>NOTA 27- RMP</vt:lpstr>
      <vt:lpstr>NOTA 28,29 - Rezerwy</vt:lpstr>
      <vt:lpstr>NOTA 31 - Zarządzanie kapitałem</vt:lpstr>
      <vt:lpstr>NOTA 32 - Podmioty powiązane</vt:lpstr>
      <vt:lpstr>NOTA 33 - Wynagrodzenie kadry </vt:lpstr>
      <vt:lpstr>NOTA 34 - Sruktura zatrudnienia</vt:lpstr>
      <vt:lpstr>NOTA 40 - Wynagrodzenie BR</vt:lpstr>
      <vt:lpstr>NOTA 41 - Objasnienia do RPP</vt:lpstr>
      <vt:lpstr>Aktywa!Obszar_wydruku</vt:lpstr>
      <vt:lpstr>'NOTA  19,20,21,22 - Kapitały'!Obszar_wydruku</vt:lpstr>
      <vt:lpstr>'NOTA 10 -Wartości niematerialne'!Obszar_wydruku</vt:lpstr>
      <vt:lpstr>'NOTA 11 - Wartość firmy'!Obszar_wydruku</vt:lpstr>
      <vt:lpstr>'NOTA 12 - Inwest. jedn. stow.'!Obszar_wydruku</vt:lpstr>
      <vt:lpstr>'NOTA 13 - Akcje udziały w jedn.'!Obszar_wydruku</vt:lpstr>
      <vt:lpstr>'NOTA 14 -Pozostałe aktywa finan'!Obszar_wydruku</vt:lpstr>
      <vt:lpstr>'NOTA 15,16 - Należności'!Obszar_wydruku</vt:lpstr>
      <vt:lpstr>'NOTA 17 - RMK'!Obszar_wydruku</vt:lpstr>
      <vt:lpstr>'NOTA 18 - Środki pieniężne'!Obszar_wydruku</vt:lpstr>
      <vt:lpstr>'NOTA 23 Kredyty i pożyczki'!Obszar_wydruku</vt:lpstr>
      <vt:lpstr>'NOTA 24 Zobowiązania finansowe'!Obszar_wydruku</vt:lpstr>
      <vt:lpstr>'NOTA 25,26 - Zob. hand i pozost'!Obszar_wydruku</vt:lpstr>
      <vt:lpstr>'NOTA 27- RMP'!Obszar_wydruku</vt:lpstr>
      <vt:lpstr>'NOTA 28,29 - Rezerwy'!Obszar_wydruku</vt:lpstr>
      <vt:lpstr>'NOTA 3 - Koszty rodzajowe'!Obszar_wydruku</vt:lpstr>
      <vt:lpstr>'NOTA 31 - Zarządzanie kapitałem'!Obszar_wydruku</vt:lpstr>
      <vt:lpstr>'NOTA 32 - Podmioty powiązane'!Obszar_wydruku</vt:lpstr>
      <vt:lpstr>'NOTA 33 - Wynagrodzenie kadry '!Obszar_wydruku</vt:lpstr>
      <vt:lpstr>'NOTA 34 - Sruktura zatrudnienia'!Obszar_wydruku</vt:lpstr>
      <vt:lpstr>'NOTA 4 - PPO i PKO'!Obszar_wydruku</vt:lpstr>
      <vt:lpstr>'NOTA 40 - Wynagrodzenie BR'!Obszar_wydruku</vt:lpstr>
      <vt:lpstr>'NOTA 41 - Objasnienia do RPP'!Obszar_wydruku</vt:lpstr>
      <vt:lpstr>'NOTA 5 - PF i KF'!Obszar_wydruku</vt:lpstr>
      <vt:lpstr>'NOTA 6 - Podatek '!Obszar_wydruku</vt:lpstr>
      <vt:lpstr>'NOTA 7 - Zysk na 1 akcję'!Obszar_wydruku</vt:lpstr>
      <vt:lpstr>'NOTA 9 -Rzeczowe aktywa trwałe'!Obszar_wydruku</vt:lpstr>
      <vt:lpstr>Pasywa!Obszar_wydruku</vt:lpstr>
      <vt:lpstr>RPP!Obszar_wydruku</vt:lpstr>
      <vt:lpstr>RZiS!Obszar_wydruku</vt:lpstr>
      <vt:lpstr>'Skr. spr. z cał. dochodów'!Obszar_wydruku</vt:lpstr>
      <vt:lpstr>'wybrane dane finansowe'!Obszar_wydruku</vt:lpstr>
      <vt:lpstr>ZZwK!Obszar_wydruku</vt:lpstr>
    </vt:vector>
  </TitlesOfParts>
  <Company>CONSULT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Szymańska</dc:creator>
  <cp:lastModifiedBy>Tomasz Skupień</cp:lastModifiedBy>
  <cp:lastPrinted>2019-04-15T11:19:01Z</cp:lastPrinted>
  <dcterms:created xsi:type="dcterms:W3CDTF">2007-11-12T12:49:29Z</dcterms:created>
  <dcterms:modified xsi:type="dcterms:W3CDTF">2021-07-22T12:22:21Z</dcterms:modified>
</cp:coreProperties>
</file>