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Default Extension="vml" ContentType="application/vnd.openxmlformats-officedocument.vmlDrawing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tabRatio="924" activeTab="2"/>
  </bookViews>
  <sheets>
    <sheet name="Dane podstawowe" sheetId="1" r:id="rId1"/>
    <sheet name="wybrane dane finansowe" sheetId="2" r:id="rId2"/>
    <sheet name="RZiS" sheetId="3" r:id="rId3"/>
    <sheet name="Skr. spr. z cał. dochodów" sheetId="4" r:id="rId4"/>
    <sheet name="Aktywa" sheetId="5" r:id="rId5"/>
    <sheet name="Pasywa" sheetId="6" r:id="rId6"/>
    <sheet name="ZZwK" sheetId="7" r:id="rId7"/>
    <sheet name="RPP" sheetId="8" r:id="rId8"/>
    <sheet name="NOTA 1,2 - Przychody i segmenty" sheetId="9" r:id="rId9"/>
    <sheet name="NOTA 3 - Koszty rodzajowe" sheetId="10" r:id="rId10"/>
    <sheet name="NOTA 4 - PPO i PKO" sheetId="11" r:id="rId11"/>
    <sheet name="NOTA 5 - PF i KF" sheetId="12" r:id="rId12"/>
    <sheet name="NOTA 6 - Podatek " sheetId="13" r:id="rId13"/>
    <sheet name="NOTA 7 - Zysk na 1 akcję" sheetId="14" r:id="rId14"/>
    <sheet name="NOTA 9-Rzeczowe aktywa trwałe" sheetId="15" r:id="rId15"/>
    <sheet name="NOTA 10 -Wartości niematerialne" sheetId="16" r:id="rId16"/>
    <sheet name="NOTA 11 - Prawo do użytkowania" sheetId="17" r:id="rId17"/>
    <sheet name="NOTA 12 - Inw. w jedn. podporz." sheetId="18" r:id="rId18"/>
    <sheet name="NOTA 13- Pozostałe aktywa finan" sheetId="19" r:id="rId19"/>
    <sheet name="NOTA 14,15 - Należności" sheetId="20" r:id="rId20"/>
    <sheet name="NOTA 15a - RMK" sheetId="21" state="hidden" r:id="rId21"/>
    <sheet name="NOTA 16 - Środki pieniężne" sheetId="22" r:id="rId22"/>
    <sheet name="NOTA 17,18 - Kapitały" sheetId="23" r:id="rId23"/>
    <sheet name="NOTA 19 - Kredyty i pożyczki" sheetId="24" r:id="rId24"/>
    <sheet name="NOTA 20 Zobowiązania finansowe" sheetId="25" r:id="rId25"/>
    <sheet name="NOTA 21,22 - Zob. hand. i pozos" sheetId="26" r:id="rId26"/>
    <sheet name="NOTA 23 - RMP" sheetId="27" r:id="rId27"/>
    <sheet name="NOTA 24,25 - Rezerwy" sheetId="28" r:id="rId28"/>
    <sheet name="NOTA 26- Zarządzanie ryzykiem" sheetId="29" r:id="rId29"/>
    <sheet name="NOTA 29 - Zarządzanie kapitałem" sheetId="30" r:id="rId30"/>
    <sheet name="NOTA 30 - Podmioty powiązane" sheetId="31" r:id="rId31"/>
    <sheet name="NOTA 31 - Wynagrodzenie kadry " sheetId="32" r:id="rId32"/>
    <sheet name="NOTA 32- Sruktura zatrudnienia" sheetId="33" r:id="rId33"/>
    <sheet name="NOTA 35 - Program opcji" sheetId="34" r:id="rId34"/>
    <sheet name="NOTA 36 - Wynagrodzenie BR" sheetId="35" r:id="rId35"/>
    <sheet name="NOTA 37 - Objasnienia do RPP" sheetId="36" r:id="rId36"/>
    <sheet name="Arkusz1" sheetId="37" r:id="rId37"/>
  </sheets>
  <externalReferences>
    <externalReference r:id="rId40"/>
    <externalReference r:id="rId41"/>
  </externalReferences>
  <definedNames>
    <definedName name="_xlnm.Print_Area" localSheetId="4">'Aktywa'!$B$2:$E$25</definedName>
    <definedName name="_xlnm.Print_Area" localSheetId="8">'NOTA 1,2 - Przychody i segmenty'!$A$2:$L$30</definedName>
    <definedName name="_xlnm.Print_Area" localSheetId="15">'NOTA 10 -Wartości niematerialne'!$A$2:$I$92</definedName>
    <definedName name="_xlnm.Print_Area" localSheetId="17">'NOTA 12 - Inw. w jedn. podporz.'!$A$2:$I$126</definedName>
    <definedName name="_xlnm.Print_Area" localSheetId="18">'NOTA 13- Pozostałe aktywa finan'!$A$2:$G$36</definedName>
    <definedName name="_xlnm.Print_Area" localSheetId="19">'NOTA 14,15 - Należności'!$A$2:$I$110</definedName>
    <definedName name="_xlnm.Print_Area" localSheetId="20">'NOTA 15a - RMK'!$A$2:$C$14</definedName>
    <definedName name="_xlnm.Print_Area" localSheetId="21">'NOTA 16 - Środki pieniężne'!$A$2:$C$19</definedName>
    <definedName name="_xlnm.Print_Area" localSheetId="22">'NOTA 17,18 - Kapitały'!$B$2:$I$115</definedName>
    <definedName name="_xlnm.Print_Area" localSheetId="23">'NOTA 19 - Kredyty i pożyczki'!$A$2:$F$67</definedName>
    <definedName name="_xlnm.Print_Area" localSheetId="24">'NOTA 20 Zobowiązania finansowe'!$A$2:$G$143</definedName>
    <definedName name="_xlnm.Print_Area" localSheetId="26">'NOTA 23 - RMP'!$A$2:$E$29</definedName>
    <definedName name="_xlnm.Print_Area" localSheetId="27">'NOTA 24,25 - Rezerwy'!$A$2:$E$68</definedName>
    <definedName name="_xlnm.Print_Area" localSheetId="28">'NOTA 26- Zarządzanie ryzykiem'!$A$2:$H$120</definedName>
    <definedName name="_xlnm.Print_Area" localSheetId="29">'NOTA 29 - Zarządzanie kapitałem'!$A$2:$C$15</definedName>
    <definedName name="_xlnm.Print_Area" localSheetId="9">'NOTA 3 - Koszty rodzajowe'!$A$2:$C$28</definedName>
    <definedName name="_xlnm.Print_Area" localSheetId="30">'NOTA 30 - Podmioty powiązane'!$A$2:$M$34</definedName>
    <definedName name="_xlnm.Print_Area" localSheetId="31">'NOTA 31 - Wynagrodzenie kadry '!$A$2:$D$54</definedName>
    <definedName name="_xlnm.Print_Area" localSheetId="32">'NOTA 32- Sruktura zatrudnienia'!$A$2:$C$20</definedName>
    <definedName name="_xlnm.Print_Area" localSheetId="34">'NOTA 36 - Wynagrodzenie BR'!$A$2:$E$9</definedName>
    <definedName name="_xlnm.Print_Area" localSheetId="35">'NOTA 37 - Objasnienia do RPP'!$A$2:$C$74</definedName>
    <definedName name="_xlnm.Print_Area" localSheetId="10">'NOTA 4 - PPO i PKO'!$A$2:$C$26</definedName>
    <definedName name="_xlnm.Print_Area" localSheetId="11">'NOTA 5 - PF i KF'!$A$2:$I$20</definedName>
    <definedName name="_xlnm.Print_Area" localSheetId="12">'NOTA 6 - Podatek '!$A$2:$E$89</definedName>
    <definedName name="_xlnm.Print_Area" localSheetId="13">'NOTA 7 - Zysk na 1 akcję'!$A$2:$G$25</definedName>
    <definedName name="_xlnm.Print_Area" localSheetId="14">'NOTA 9-Rzeczowe aktywa trwałe'!$A$2:$H$104</definedName>
    <definedName name="_xlnm.Print_Area" localSheetId="5">'Pasywa'!$B$2:$E$29</definedName>
    <definedName name="_xlnm.Print_Area" localSheetId="7">'RPP'!$B$2:$D$54</definedName>
    <definedName name="_xlnm.Print_Area" localSheetId="2">'RZiS'!$C$2:$F$34</definedName>
    <definedName name="_xlnm.Print_Area" localSheetId="3">'Skr. spr. z cał. dochodów'!$B$2:$E$14</definedName>
    <definedName name="_xlnm.Print_Area" localSheetId="1">'wybrane dane finansowe'!$A$2:$E$34</definedName>
    <definedName name="_xlnm.Print_Area" localSheetId="6">'ZZwK'!$B$2:$I$29</definedName>
    <definedName name="OdDo">#N/A</definedName>
    <definedName name="OdDoPoprz">#N/A</definedName>
    <definedName name="OdDoPoprzAlt">#N/A</definedName>
    <definedName name="PoczOkrPoprz" localSheetId="15">'[2]Dane'!$BB$68</definedName>
    <definedName name="PoczOkrSpraw" localSheetId="15">'[2]Dane'!$BB$62</definedName>
    <definedName name="SkrotWaluty">'[1]Dane'!$BB$96</definedName>
    <definedName name="WOkrPoprzAlt">#N/A</definedName>
    <definedName name="WOkrSpraw">#N/A</definedName>
  </definedNames>
  <calcPr fullCalcOnLoad="1"/>
</workbook>
</file>

<file path=xl/comments31.xml><?xml version="1.0" encoding="utf-8"?>
<comments xmlns="http://schemas.openxmlformats.org/spreadsheetml/2006/main">
  <authors>
    <author>Sare_76</author>
  </authors>
  <commentList>
    <comment ref="B7" authorId="0">
      <text>
        <r>
          <rPr>
            <b/>
            <sz val="9"/>
            <rFont val="Tahoma"/>
            <family val="2"/>
          </rPr>
          <t>Sare_76:</t>
        </r>
        <r>
          <rPr>
            <sz val="9"/>
            <rFont val="Tahoma"/>
            <family val="2"/>
          </rPr>
          <t xml:space="preserve">
Przychody SARE</t>
        </r>
      </text>
    </comment>
    <comment ref="C7" authorId="0">
      <text>
        <r>
          <rPr>
            <b/>
            <sz val="9"/>
            <rFont val="Tahoma"/>
            <family val="2"/>
          </rPr>
          <t>Sare_76:</t>
        </r>
        <r>
          <rPr>
            <sz val="9"/>
            <rFont val="Tahoma"/>
            <family val="2"/>
          </rPr>
          <t xml:space="preserve">
Przychody SARE</t>
        </r>
      </text>
    </comment>
    <comment ref="D7" authorId="0">
      <text>
        <r>
          <rPr>
            <b/>
            <sz val="9"/>
            <rFont val="Tahoma"/>
            <family val="2"/>
          </rPr>
          <t>Sare_76:</t>
        </r>
        <r>
          <rPr>
            <sz val="9"/>
            <rFont val="Tahoma"/>
            <family val="2"/>
          </rPr>
          <t xml:space="preserve">
Zakupy SARE (wartość faktur bez wyłączeń)
</t>
        </r>
      </text>
    </comment>
    <comment ref="E7" authorId="0">
      <text>
        <r>
          <rPr>
            <b/>
            <sz val="9"/>
            <rFont val="Tahoma"/>
            <family val="2"/>
          </rPr>
          <t>Sare_76:</t>
        </r>
        <r>
          <rPr>
            <sz val="9"/>
            <rFont val="Tahoma"/>
            <family val="2"/>
          </rPr>
          <t xml:space="preserve">
Zakupy SARE (wartość faktur bez wyłączeń)
</t>
        </r>
      </text>
    </comment>
    <comment ref="F7" authorId="0">
      <text>
        <r>
          <rPr>
            <b/>
            <sz val="9"/>
            <rFont val="Tahoma"/>
            <family val="2"/>
          </rPr>
          <t>Sare_76:</t>
        </r>
        <r>
          <rPr>
            <sz val="9"/>
            <rFont val="Tahoma"/>
            <family val="2"/>
          </rPr>
          <t xml:space="preserve">
Należności SARE
</t>
        </r>
      </text>
    </comment>
    <comment ref="G7" authorId="0">
      <text>
        <r>
          <rPr>
            <b/>
            <sz val="9"/>
            <rFont val="Tahoma"/>
            <family val="2"/>
          </rPr>
          <t>Sare_76:</t>
        </r>
        <r>
          <rPr>
            <sz val="9"/>
            <rFont val="Tahoma"/>
            <family val="2"/>
          </rPr>
          <t xml:space="preserve">
Należności SARE
</t>
        </r>
      </text>
    </comment>
    <comment ref="H7" authorId="0">
      <text>
        <r>
          <rPr>
            <b/>
            <sz val="9"/>
            <rFont val="Tahoma"/>
            <family val="2"/>
          </rPr>
          <t>Sare_76:</t>
        </r>
        <r>
          <rPr>
            <sz val="9"/>
            <rFont val="Tahoma"/>
            <family val="2"/>
          </rPr>
          <t xml:space="preserve">
Zobowiązania SARE</t>
        </r>
      </text>
    </comment>
    <comment ref="I7" authorId="0">
      <text>
        <r>
          <rPr>
            <b/>
            <sz val="9"/>
            <rFont val="Tahoma"/>
            <family val="2"/>
          </rPr>
          <t>Sare_76:</t>
        </r>
        <r>
          <rPr>
            <sz val="9"/>
            <rFont val="Tahoma"/>
            <family val="2"/>
          </rPr>
          <t xml:space="preserve">
Zobowiązania SARE</t>
        </r>
      </text>
    </comment>
  </commentList>
</comments>
</file>

<file path=xl/sharedStrings.xml><?xml version="1.0" encoding="utf-8"?>
<sst xmlns="http://schemas.openxmlformats.org/spreadsheetml/2006/main" count="1562" uniqueCount="959">
  <si>
    <t>Liczba akcji</t>
  </si>
  <si>
    <t>Podmiot powiązany</t>
  </si>
  <si>
    <t>Sprzedaż na rzecz podmiotów powiązanych</t>
  </si>
  <si>
    <t>Zakupy od podmiotów powiązanych</t>
  </si>
  <si>
    <t>Wartości niematerialne - struktura własnościowa</t>
  </si>
  <si>
    <t xml:space="preserve">Udziały  w jednostkach podporządkowanych </t>
  </si>
  <si>
    <t>jednostek zależnych</t>
  </si>
  <si>
    <t>jednostek współzależnych</t>
  </si>
  <si>
    <t>jednostek stowarzyszonych</t>
  </si>
  <si>
    <t>Stan na początek okresu</t>
  </si>
  <si>
    <t>Zwiększenia w okresie sprawozdawczym, z tytułu:</t>
  </si>
  <si>
    <t>- połączenia jednostek gospodarczych</t>
  </si>
  <si>
    <t>- reklasyfikacja</t>
  </si>
  <si>
    <t>- inne zwiększenia</t>
  </si>
  <si>
    <t>Zmniejszenia w okresie sprawozdawczym, z tytułu:</t>
  </si>
  <si>
    <t>Stan na koniec okresu</t>
  </si>
  <si>
    <t>Nazwa spółki, forma prawna, miejscowość, w której mieści się siedziba zarządu</t>
  </si>
  <si>
    <t xml:space="preserve">Wartość udziałów wg ceny nabycia </t>
  </si>
  <si>
    <t>Korekty aktualizujące wartość</t>
  </si>
  <si>
    <t>Wartość bilansowa udziałów</t>
  </si>
  <si>
    <t>Procent posiadanych udziałów</t>
  </si>
  <si>
    <t>Procent posiadanych głosów</t>
  </si>
  <si>
    <t>Metoda konsolidacji</t>
  </si>
  <si>
    <t>Zysk / strata netto</t>
  </si>
  <si>
    <t>Wartość aktywów</t>
  </si>
  <si>
    <t>Aktywa trwałe</t>
  </si>
  <si>
    <t>Aktywa obrotowe</t>
  </si>
  <si>
    <t>Wartość zobowiązań</t>
  </si>
  <si>
    <t>Wartość przychodów</t>
  </si>
  <si>
    <t xml:space="preserve"> Pożyczki udzielone, w tym:</t>
  </si>
  <si>
    <t xml:space="preserve"> - dla Zarządu i Rady Nadzorczej</t>
  </si>
  <si>
    <t xml:space="preserve"> Instrumenty zabezpieczające wartość godziwą</t>
  </si>
  <si>
    <t xml:space="preserve"> Instrumenty zabezpieczające przepływy pieniężne</t>
  </si>
  <si>
    <t xml:space="preserve"> Inne</t>
  </si>
  <si>
    <t>Należności długoterminowe</t>
  </si>
  <si>
    <t>Należności z tytułu zaliczek na środki trwałe w budowie</t>
  </si>
  <si>
    <t>Długoterminowe rozliczenia międzyokresowe</t>
  </si>
  <si>
    <t>Kaucje gwarancyjne zdeponowane w banku</t>
  </si>
  <si>
    <t>RAZEM</t>
  </si>
  <si>
    <t>- inne</t>
  </si>
  <si>
    <t xml:space="preserve">Należności handlowe </t>
  </si>
  <si>
    <t>Stan odpisów aktualizujących wartość należności handlowych na początek okresu</t>
  </si>
  <si>
    <t>Należności handlowe dochodzone na drodze sądowej:</t>
  </si>
  <si>
    <t>Pozostałe należności dochodzone na drodze sądowej:</t>
  </si>
  <si>
    <t>Należności handlowe skierowane na drogę postępowania sądowego</t>
  </si>
  <si>
    <t>Wartość netto należności handlowych dochodzonych na drodze sądowej</t>
  </si>
  <si>
    <t>Pozostałe należności skierowane na drogę postępowania sądowego</t>
  </si>
  <si>
    <t>Wartość netto pzostałych należności dochodzonych na drodze sądowej</t>
  </si>
  <si>
    <t xml:space="preserve"> - od Zarządu i Rady Nadzorczej</t>
  </si>
  <si>
    <t>zobowiązania leasingowe</t>
  </si>
  <si>
    <t>zobowiązania wyceniane w wartości godziwej przez wynik finansowy</t>
  </si>
  <si>
    <t xml:space="preserve">Razem zobowiązania finansowe </t>
  </si>
  <si>
    <t xml:space="preserve"> - długoterminowe</t>
  </si>
  <si>
    <t xml:space="preserve"> - krótkoterminowe</t>
  </si>
  <si>
    <t>Udzielone pożyczki</t>
  </si>
  <si>
    <t>Udzielone pożyczki, w tym:</t>
  </si>
  <si>
    <t>- dla Zarządu i Rady Nadzorczej</t>
  </si>
  <si>
    <t>Suma netto udzielonych pożyczek</t>
  </si>
  <si>
    <t>Grunty</t>
  </si>
  <si>
    <t>Budynki i   budowle</t>
  </si>
  <si>
    <t>Maszyny
i urządzenia</t>
  </si>
  <si>
    <t>Środki
transportu</t>
  </si>
  <si>
    <t>Pozostałe
środki
trwałe</t>
  </si>
  <si>
    <t>Koszty finansowe</t>
  </si>
  <si>
    <t>Wartość firmy</t>
  </si>
  <si>
    <t>Pozostałe</t>
  </si>
  <si>
    <t>Nie przeterminowane</t>
  </si>
  <si>
    <t>Imię i nazwisko</t>
  </si>
  <si>
    <t>Liczba pracowników przyjętych</t>
  </si>
  <si>
    <t>Liczba pracowników zwolnionych</t>
  </si>
  <si>
    <t>Przeciętne zatrudnienie:</t>
  </si>
  <si>
    <t>Funkcja</t>
  </si>
  <si>
    <t>Pozostałe świadczenia długoterminowe</t>
  </si>
  <si>
    <t>Bieżący rok obrotowy:</t>
  </si>
  <si>
    <t>01.01.200X - 31.12.200X</t>
  </si>
  <si>
    <t>31.12.200X</t>
  </si>
  <si>
    <t>Poprzedni rok obrotowy</t>
  </si>
  <si>
    <t>01.01.200(X-1) - 31.12.200(X-1)</t>
  </si>
  <si>
    <t>01.01.200(X-1)</t>
  </si>
  <si>
    <t>31.12.200(X-1)</t>
  </si>
  <si>
    <t>Wyliczenie zysku na jedną akcje - założenia</t>
  </si>
  <si>
    <t xml:space="preserve">Zysk netto z działalności kontynuowanej </t>
  </si>
  <si>
    <t xml:space="preserve">Strata na działalności zaniechanej </t>
  </si>
  <si>
    <t>Zysk netto przypadający na zwykłych akcjonariuszy, zastosowany do obliczenia rozwodnionego zysku na jedną akcję</t>
  </si>
  <si>
    <t>Efekt rozwodnienia:</t>
  </si>
  <si>
    <t xml:space="preserve"> - odsetki od umarzalnych akcji uprzywilejowanych zamiennych na akcje zwykłe</t>
  </si>
  <si>
    <t xml:space="preserve"> - odsetki od obligacji zamiennych na akcje</t>
  </si>
  <si>
    <t xml:space="preserve"> -  instrument rozwadniający zysk 1</t>
  </si>
  <si>
    <t xml:space="preserve">Zysk wykazany dla potrzeb wyliczenia wartości rozwodnionego zysku przypadającego na jedną akcję </t>
  </si>
  <si>
    <t>Liczba wyemitowanych akcji</t>
  </si>
  <si>
    <t>Średnia ważona liczba akcji wykazana dla potrzeb wyliczenia wartości podstawowego zysku  na jedną akcję w szt.</t>
  </si>
  <si>
    <t>Efekt rozwodnienia liczby akcji zwykłych</t>
  </si>
  <si>
    <t xml:space="preserve"> - opcje na akcje</t>
  </si>
  <si>
    <t xml:space="preserve"> - obligacje zamienne na akcje</t>
  </si>
  <si>
    <t xml:space="preserve"> - instrument rozwadniający zysk 1</t>
  </si>
  <si>
    <t>Średnia ważona liczba akcji zwykłych wykazana dla potrzeb wyliczenia wartości rozwodnionego zysku na jedną akcję w szt.</t>
  </si>
  <si>
    <t>PASYWA</t>
  </si>
  <si>
    <t>Podział zysku netto</t>
  </si>
  <si>
    <t>Jednostka dominująca</t>
  </si>
  <si>
    <t>Środki trwałe w budowie</t>
  </si>
  <si>
    <t>Rzeczowe aktywa trwałe - struktura własnościowa</t>
  </si>
  <si>
    <t>Okres</t>
  </si>
  <si>
    <t>Krótkoterminowe świadczenia pracownicze (wynagrodzenia i narzuty)</t>
  </si>
  <si>
    <t>Nagrody jubileuszowe</t>
  </si>
  <si>
    <t>Świadczenia po okresie zatrudnienia</t>
  </si>
  <si>
    <t>Świadczenia z tytułu rozwiązania stosunku pracy</t>
  </si>
  <si>
    <t xml:space="preserve">Świadczenia pracownicze w formie akcji własnych </t>
  </si>
  <si>
    <t>Odpisy aktualizujące</t>
  </si>
  <si>
    <t>- dokonanie odpisów na należności przeterminowane i sporne</t>
  </si>
  <si>
    <t>- dowiązanie odpisów w związku z umorzeniem układu</t>
  </si>
  <si>
    <t>- wykorzystanie odpisów aktualizujących</t>
  </si>
  <si>
    <t>- rozwiązanie odpisów aktualizujących w związku ze spłatą należności</t>
  </si>
  <si>
    <t>- zakończenie postępowań</t>
  </si>
  <si>
    <t>Odpisy aktualizujące wartość należności spornych</t>
  </si>
  <si>
    <t>Pozostałe należności, w tym:</t>
  </si>
  <si>
    <t>- zaliczki na dostawy</t>
  </si>
  <si>
    <t>Inwestycje krótkoterminowe</t>
  </si>
  <si>
    <t>Zmiany kapitału zakładowego:</t>
  </si>
  <si>
    <t>Kapitał na początek okresu</t>
  </si>
  <si>
    <t>Zwiekszenia, z tytułu:</t>
  </si>
  <si>
    <t>Zmniejszenia, z tytułu</t>
  </si>
  <si>
    <t>Kapitał na koniec okresu</t>
  </si>
  <si>
    <t>Suma kredytów i pożyczek, w tym:</t>
  </si>
  <si>
    <t>Data rejestracji</t>
  </si>
  <si>
    <t>hiperinflacja</t>
  </si>
  <si>
    <t>tytuł</t>
  </si>
  <si>
    <t>Wartość jednostkowa</t>
  </si>
  <si>
    <t>Seria/emisja rodzaj akcji</t>
  </si>
  <si>
    <t>Kapitał z aktualizacji wyceny</t>
  </si>
  <si>
    <t>Kapitał rezerwowy</t>
  </si>
  <si>
    <t>Wycena aktywów finansowych dostępnych do sprzedaży</t>
  </si>
  <si>
    <t>Podatek odroczony z tyt. powyższej korekty</t>
  </si>
  <si>
    <t>Wynik z tytułu zabezpieczeń przepływów pieniężnych</t>
  </si>
  <si>
    <t>Podział/ pokrycie zysku/straty netto</t>
  </si>
  <si>
    <t>Element kapitałowy programu motywacyjnego dla pracowników</t>
  </si>
  <si>
    <t xml:space="preserve">Zwiększenia w okresie </t>
  </si>
  <si>
    <t xml:space="preserve">Zmniejszenia w okresie </t>
  </si>
  <si>
    <t>Zmiana stanu pozostałych kapitałów</t>
  </si>
  <si>
    <t>Kredyty rachunku bieżącym</t>
  </si>
  <si>
    <t>Kredyty bankowe</t>
  </si>
  <si>
    <t xml:space="preserve">RAZEM </t>
  </si>
  <si>
    <t>Rezerwy na odprawy emerytalne i rentowe</t>
  </si>
  <si>
    <t>Rezerwy na nagrody jubileuszowe</t>
  </si>
  <si>
    <t>Rezerwy na urlopy wypoczynkowe</t>
  </si>
  <si>
    <t>Rezerwy na pozostałe świadczenia</t>
  </si>
  <si>
    <t>korekta o zmianę stanu należności z tytułu zbycia rzeczowych aktywów trwałych</t>
  </si>
  <si>
    <t>korekta o zmianę stanu należności z tytułu zbycia inwestycji niefinansowych</t>
  </si>
  <si>
    <t>korekta o zmianę stanu należności z tytułu zbycia inwestycji finansowych</t>
  </si>
  <si>
    <t>zmiana stanu zobowiązań krótkoterminowych wynikająca z bilansu</t>
  </si>
  <si>
    <t>korekta o zmianę stanu zobowiązań z tytułu nabycia rzeczowych aktywów trwałych</t>
  </si>
  <si>
    <t>korekta o zmianę stanu zobowiązań z tytułu nabycia aktywów finansowych</t>
  </si>
  <si>
    <t>Na wartość pozycji "inne korekty" składają się:</t>
  </si>
  <si>
    <t xml:space="preserve">wartość netto sprzedanych wartości niematerialnych </t>
  </si>
  <si>
    <t>przychody ze sprzedaży rzeczowych aktywów trwałych</t>
  </si>
  <si>
    <t>wartość netto sprzedanych rzeczowych aktywów trwałych</t>
  </si>
  <si>
    <t>amortyzacja wartości niematerialnych</t>
  </si>
  <si>
    <t>amortyzacja rzeczowych aktywów trwałych</t>
  </si>
  <si>
    <t>bilansowa zmiana stanu zapasów</t>
  </si>
  <si>
    <t>wartość zapasów przejęta w wyniku objęcia kontroli (stan zapasów jednostki zależnej na dzień objęcia kontroli ze znakiem "-")</t>
  </si>
  <si>
    <t>wartość zapasów wyłączona w wyniku utraty kontroli (stan zapasów jednostki zależnej na dzień utraty kontroli ze znakiem "+")</t>
  </si>
  <si>
    <t>bilansowa zmiana stanu rezerw na świadczenia pracownicze</t>
  </si>
  <si>
    <t>wartość rezerw przejęta w wyniku objęcia kontroli (stan rezerw jednostki zależnej na dzień objęcia kontroli ze znakiem "-")</t>
  </si>
  <si>
    <t>wartość rezerw wyłączona w wyniku utraty kontroli (stan rezerw jednostki zależnej na dzień utraty kontroli ze znakiem "+")</t>
  </si>
  <si>
    <t>stan należności przejęty w wyniku objęcia kontroli (stan należności jednostki zależnej na dzień objęcia kontroli ze znakiem "-")</t>
  </si>
  <si>
    <t>stan należności wyłączony w wyniku utraty kontroli (stan należności jednostki zależnej na dzień utraty kontroli ze znakiem "+")</t>
  </si>
  <si>
    <t>Jednostki zależne:</t>
  </si>
  <si>
    <t>Wynagrodzenie wypłacone lub należne za rok obrotowy</t>
  </si>
  <si>
    <t>- za badanie rocznego sprawozdania finansowego i skonsolidowanego sprawozdania finansowego</t>
  </si>
  <si>
    <t>Kapitał zakładowy struktura cd:</t>
  </si>
  <si>
    <t>23</t>
  </si>
  <si>
    <t>Zmiana stanu zobowiązań krótkoterminowych, z wyjątkiem zobowiązań finasnowych, wynika z następujących pozycji:</t>
  </si>
  <si>
    <t>Minus środki pieniężne i ich ekwiwalenty</t>
  </si>
  <si>
    <t>Zadłużenie netto</t>
  </si>
  <si>
    <t>Kapitał własny</t>
  </si>
  <si>
    <t>Kapitały rezerwowe z tytułu niezrealizowanych zysków netto</t>
  </si>
  <si>
    <t>Kapitał razem</t>
  </si>
  <si>
    <t>Kapitał i zadłużenie netto</t>
  </si>
  <si>
    <t>Wskaźnik dźwigni</t>
  </si>
  <si>
    <t>Administracja</t>
  </si>
  <si>
    <t>Dział sprzedaży</t>
  </si>
  <si>
    <t>Pozostali</t>
  </si>
  <si>
    <t>Obciążenie podatkowe wykazane w rachunku zysków i strat</t>
  </si>
  <si>
    <t>Aktywa finansowe dostępne do sprzedaży</t>
  </si>
  <si>
    <t>Rozliczenia międzyokresowe</t>
  </si>
  <si>
    <t>Aktywa z tytułu odroczonego podatku dochodowego</t>
  </si>
  <si>
    <t>Należności handlowe</t>
  </si>
  <si>
    <t>Aktywa finansowe wyceniane w wartości godziwej przez wynik finansowy</t>
  </si>
  <si>
    <t>Środki pieniężne i ich ekwiwalenty</t>
  </si>
  <si>
    <t>AKTYWA  RAZEM</t>
  </si>
  <si>
    <t>w tę kolumnę należy wpisać dane według wzoru</t>
  </si>
  <si>
    <t>wzór</t>
  </si>
  <si>
    <t>Nazwa jednostki:</t>
  </si>
  <si>
    <t>ABC S.A.</t>
  </si>
  <si>
    <t>Adres siedziby:</t>
  </si>
  <si>
    <t>Początek roku:</t>
  </si>
  <si>
    <t>Koniec roku:</t>
  </si>
  <si>
    <t>Kapitał zakładowy</t>
  </si>
  <si>
    <t>Pozostałe kapitały</t>
  </si>
  <si>
    <t>Rezerwa na świadczenia emerytalne i podobne</t>
  </si>
  <si>
    <t>Zobowiązania handlowe</t>
  </si>
  <si>
    <t>PASYWA  RAZEM</t>
  </si>
  <si>
    <t xml:space="preserve">Dane finasnowe sporządzone w </t>
  </si>
  <si>
    <t>Pozostałe przychody operacyjne</t>
  </si>
  <si>
    <t>Pozostałe koszty operacyjne</t>
  </si>
  <si>
    <t>Zysk (strata) na działalności operacyjnej</t>
  </si>
  <si>
    <t>Zysk (strata) netto z działalności kontynuowanej</t>
  </si>
  <si>
    <t>Zysk (strata) z działalności zaniechanej</t>
  </si>
  <si>
    <t>DZIAŁALNOŚĆ OPERACYJNA</t>
  </si>
  <si>
    <t>Korekty razem: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</si>
  <si>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</si>
  <si>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</si>
  <si>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</si>
  <si>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</si>
  <si>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</si>
  <si>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</si>
  <si>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</si>
  <si>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</si>
  <si>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</si>
  <si>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Inne wpływy finansowe</t>
  </si>
  <si>
    <t xml:space="preserve">Odsetki </t>
  </si>
  <si>
    <t>Inne wydatki finansowe</t>
  </si>
  <si>
    <t>Przepływy pieniężne netto z działalności finansowej</t>
  </si>
  <si>
    <t>- zmiana stanu środków pieniężnych z tytułu różnic kursowych</t>
  </si>
  <si>
    <t>Wpływy</t>
  </si>
  <si>
    <t>Wydatki</t>
  </si>
  <si>
    <t>Kapitał
własny ogółem</t>
  </si>
  <si>
    <t>Koszty emisji akcji</t>
  </si>
  <si>
    <t>tys. zł / zł</t>
  </si>
  <si>
    <t>stan zobowiązań operacyjnych przejęty w wyniku objęcia kontroli (stan zobowiązań jednostki zależnej na dzień objęcia kontroli ze znakiem "-")</t>
  </si>
  <si>
    <t>stan zobowiązań opeacyjnych wyłączony w wyniku utraty kontroli (stan zobowiązań jednostki zależnej na dzień utraty kontroli ze znakiem "+")</t>
  </si>
  <si>
    <t>Zmiana stanu rezerw wynika z następujących pozycji:</t>
  </si>
  <si>
    <t>Zmiana stanu zapasów wynika z następujących pozycji:</t>
  </si>
  <si>
    <t>Należności handlowe brutto</t>
  </si>
  <si>
    <t>- od jednostek powiazanych</t>
  </si>
  <si>
    <t>- od pozostałych jednostek</t>
  </si>
  <si>
    <t>Pozostałe należności brutto</t>
  </si>
  <si>
    <t>Zmniejszenia w tym:</t>
  </si>
  <si>
    <t>Zmniejszenia, z tytułu:</t>
  </si>
  <si>
    <t>Zwiększenia, z tytułu:</t>
  </si>
  <si>
    <t xml:space="preserve">Razem inne zobowiązania </t>
  </si>
  <si>
    <t>- z tytułu zbycia aktywów trwałych</t>
  </si>
  <si>
    <t>od jednostek powiązanych</t>
  </si>
  <si>
    <t>od pozostałych jednostek</t>
  </si>
  <si>
    <t>Zwiększenia, w tym:</t>
  </si>
  <si>
    <t>Koszt wytworzenia sprzedanych produktów i usług</t>
  </si>
  <si>
    <t>Nieruchomości inwestycyjne</t>
  </si>
  <si>
    <t>Rozliczenia międzyokresowe przychodów, w tym:</t>
  </si>
  <si>
    <t>Koszt własny sprzedaży</t>
  </si>
  <si>
    <t>Zysk (strata) brutto</t>
  </si>
  <si>
    <t>Zysk (strata) netto</t>
  </si>
  <si>
    <t>Liczba udziałów/akcji w sztukach</t>
  </si>
  <si>
    <t>Wartość księgowa na akcję (zł/euro)</t>
  </si>
  <si>
    <t>Zysk (strata) netto na akcję zwykłą (zł/euro)</t>
  </si>
  <si>
    <t>Przychody ze sprzedaży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</si>
  <si>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</si>
  <si>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</si>
  <si>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</si>
  <si>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</si>
  <si>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Należności z tytułu bieżącego podatku dochodowego</t>
  </si>
  <si>
    <t>Aktywa zaklasyfikowane jako przeznaczone do sprzedaży</t>
  </si>
  <si>
    <t>Zobowiązanie długoterminowe</t>
  </si>
  <si>
    <t>Zobowiązania z tytułu bieżącego podatku dochodowego</t>
  </si>
  <si>
    <t>NOTA</t>
  </si>
  <si>
    <t>Kapitał własny po korektach</t>
  </si>
  <si>
    <t>A. Przepływy pieniężne netto z działalności operacyjnej</t>
  </si>
  <si>
    <t>B. Przepływy pieniężne netto z działalności inwestycyjnej</t>
  </si>
  <si>
    <t>C. Przepływy pieniężne netto z działalności finansowej</t>
  </si>
  <si>
    <t>D. Przepływy pieniężne netto razem</t>
  </si>
  <si>
    <t>E. Bilansowa zmiana stanu środków pieniężnych, w tym</t>
  </si>
  <si>
    <t>Pozostałe zobowiązania finansowe</t>
  </si>
  <si>
    <t>Rezerwy z tytułu odroczonego podatku dochodowego</t>
  </si>
  <si>
    <t>Emisja akcji</t>
  </si>
  <si>
    <t>Wypłata dywidendy</t>
  </si>
  <si>
    <t>Sprzedaż towarów i materiałów</t>
  </si>
  <si>
    <t xml:space="preserve">Sprzedaż produktów </t>
  </si>
  <si>
    <t>Sprzedaż usług</t>
  </si>
  <si>
    <t>SUMA przychodów ze sprzedaży</t>
  </si>
  <si>
    <t xml:space="preserve">Wynagrodzenia </t>
  </si>
  <si>
    <t>Ubezpieczenia społeczne i inne świadczenia</t>
  </si>
  <si>
    <t>Rezerwy gwarancyjne</t>
  </si>
  <si>
    <t>Koszt wytworzenia produktów na własne potrzeby jednostki (wielkość ujemna)</t>
  </si>
  <si>
    <t>Koszty sprzedaży (wielkość ujemna)</t>
  </si>
  <si>
    <t>Koszty ogólnego zarządu (wielkość ujemna)</t>
  </si>
  <si>
    <t>Uzyskane kary, grzywny i odszkodowania</t>
  </si>
  <si>
    <t xml:space="preserve">Pozostałe przychody operacyjne </t>
  </si>
  <si>
    <t xml:space="preserve">Pozostałe koszty operacyjne </t>
  </si>
  <si>
    <t>Dywidendy otrzymane</t>
  </si>
  <si>
    <t>Koszty z tytułu odsetek</t>
  </si>
  <si>
    <t>Zysk przed opodatkowaniem</t>
  </si>
  <si>
    <t>Aktywo z tytułu podatku odroczonego</t>
  </si>
  <si>
    <t>Rezerwa z tytułu podatku odroczonego – działalność kontynuowana</t>
  </si>
  <si>
    <t>Rezerwa z tytułu podatku odroczonego – działalność zaniechana</t>
  </si>
  <si>
    <t>Aktywa/Rezerwa netto z tytułu podatku odroczonego</t>
  </si>
  <si>
    <t>Własne</t>
  </si>
  <si>
    <t>Używane na podstawie umowy najmu, dzierżawy lub innej umowy, w tym umowy leasingu</t>
  </si>
  <si>
    <t>Rezerwy na naprawy gwarancyjne oraz zwroty</t>
  </si>
  <si>
    <t>Rezerwa restrukturyzacyjna</t>
  </si>
  <si>
    <t>Inne rezerwy</t>
  </si>
  <si>
    <t>Utworzone w ciągu roku obrotowego</t>
  </si>
  <si>
    <t>Korekta z tytułu różnic kursowych</t>
  </si>
  <si>
    <t>Korekta stopy dyskontowej</t>
  </si>
  <si>
    <t>Wobec jednostek powiązanych</t>
  </si>
  <si>
    <t>Wobec jednostek pozostałych</t>
  </si>
  <si>
    <t>Podatek VAT</t>
  </si>
  <si>
    <t>Podatek zryczałtowany u źródła</t>
  </si>
  <si>
    <t>Pozostałe zobowiązania</t>
  </si>
  <si>
    <t>Zobowiązania wobec pracowników z tytułu wynagrodzeń</t>
  </si>
  <si>
    <t>Inne zobowiązania</t>
  </si>
  <si>
    <t>Zapasy</t>
  </si>
  <si>
    <t>Związany z obniżeniem stawek podatku dochodowego</t>
  </si>
  <si>
    <t>Rezerwa na nagrody jubileuszowe i odprawy emerytalne</t>
  </si>
  <si>
    <t>Rezerwa na pozostałe świadczenia pracownicze</t>
  </si>
  <si>
    <t>Rezerwa na niewykorzystane urlopy</t>
  </si>
  <si>
    <t>Rezerwy na rekultywację</t>
  </si>
  <si>
    <t>Rezerwy na ochronę środowiska</t>
  </si>
  <si>
    <t>Pozostałe rezerwy</t>
  </si>
  <si>
    <t>Odpisy aktualizujące zapasy</t>
  </si>
  <si>
    <t>Zobowiązania z tytułu pozostałych podatków, ceł, ubezpieczeń społecznych i innych, z wyjątkiem podatku dochodowego od osób prawnych</t>
  </si>
  <si>
    <t>Wykorzystane</t>
  </si>
  <si>
    <t>Rozwiązane</t>
  </si>
  <si>
    <t>Koszty wypłaconych świadczeń</t>
  </si>
  <si>
    <t>Rozwiązanie rezerwy</t>
  </si>
  <si>
    <t>Podatek dochodowy netto od dostępnych do 
sprzedaży akt. finanse. sprzedanych w ciągu roku obrotowego</t>
  </si>
  <si>
    <t>Wynagrodzenia i ubezpieczenia społeczne płatne w następnych okresach</t>
  </si>
  <si>
    <t>Oprocentowane kredyty i pożyczki</t>
  </si>
  <si>
    <t>Zamienne akcje uprzywilejowane</t>
  </si>
  <si>
    <t>Zobowiązania z tytułu dostaw i usług oraz pozostałe zobowiązania</t>
  </si>
  <si>
    <t>Zobowiązania krótkoterminowe</t>
  </si>
  <si>
    <t>Zobowiązania długoterminowe</t>
  </si>
  <si>
    <t>Przychody finansowe</t>
  </si>
  <si>
    <t>Wyszczególnienie</t>
  </si>
  <si>
    <r>
      <t xml:space="preserve">Przeszacowanie kontraktu na zamianę stóp procentowych </t>
    </r>
    <r>
      <rPr>
        <i/>
        <sz val="8"/>
        <color indexed="8"/>
        <rFont val="Arial"/>
        <family val="2"/>
      </rPr>
      <t>swap</t>
    </r>
    <r>
      <rPr>
        <sz val="8"/>
        <color indexed="8"/>
        <rFont val="Arial"/>
        <family val="2"/>
      </rPr>
      <t xml:space="preserve"> (zabezpieczenie wartości godziwej) do wartości godziwej</t>
    </r>
  </si>
  <si>
    <t>Razem, w tym:</t>
  </si>
  <si>
    <t>Rezerwy na pozostałe świadczenia pracownicze</t>
  </si>
  <si>
    <t>Utworzenie rezerwy</t>
  </si>
  <si>
    <t>Świadczenia wypłacane Członkom Zarządu</t>
  </si>
  <si>
    <t>Wynagrodzenia Członków Zarządu</t>
  </si>
  <si>
    <t>Wynagrodzenia członków Rady Nadzorczej</t>
  </si>
  <si>
    <t>Rotacja zatrudnienia:</t>
  </si>
  <si>
    <t>Razem</t>
  </si>
  <si>
    <t>Dodatnie różnice kursowe</t>
  </si>
  <si>
    <t>Ujemne różnice kursowe</t>
  </si>
  <si>
    <t>Amortyzacja</t>
  </si>
  <si>
    <t>Zużycie materiałów i energii</t>
  </si>
  <si>
    <t>Usługi obce</t>
  </si>
  <si>
    <t>Podatki i opłaty</t>
  </si>
  <si>
    <t>Pozostałe koszty rodzajowe</t>
  </si>
  <si>
    <t>Wartość sprzedanych towarów i materiałów</t>
  </si>
  <si>
    <t>Zmiana stanu produktów</t>
  </si>
  <si>
    <t>Amortyzacja środków trwałych</t>
  </si>
  <si>
    <t>Amortyzacja wartości niematerialnych</t>
  </si>
  <si>
    <t>Bieżący podatek dochodowy</t>
  </si>
  <si>
    <t>Odroczony podatek dochodowy</t>
  </si>
  <si>
    <t>Związany z powstaniem i odwróceniem się różnic przejściowych</t>
  </si>
  <si>
    <t>Efekt podatkowy kosztów podniesienia kapitału akcyjnego</t>
  </si>
  <si>
    <t>Podatek od zysku/(straty) netto z tytułu aktualizacji wyceny zabezpieczeń przepływów pieniężnych</t>
  </si>
  <si>
    <t>Podatek od niezrealizowanego zysku/(straty) z tytułu aktywów finansowych dostępnych do sprzedaży</t>
  </si>
  <si>
    <t>Podatek od rozliczonych w ciągu roku instrumentów zabezpieczających przepływy pieniężne</t>
  </si>
  <si>
    <t>Przyspieszona amortyzacja podatkowa</t>
  </si>
  <si>
    <t>Przeszacowanie nieruchomości inwestycyjnych do wartości godziwej</t>
  </si>
  <si>
    <t>Przeszacowanie aktywów finansowych dostępnych do sprzedaży do wartości godziwej</t>
  </si>
  <si>
    <t xml:space="preserve">Wartości niematerialne </t>
  </si>
  <si>
    <t>Rzeczowe aktywa trwałe</t>
  </si>
  <si>
    <t>Kredyty i pożyczki</t>
  </si>
  <si>
    <t>Spis treści</t>
  </si>
  <si>
    <t>nota</t>
  </si>
  <si>
    <t>F. Środki pieniężne na początek okresu</t>
  </si>
  <si>
    <t>G. Środki pieniężne na koniec okresu</t>
  </si>
  <si>
    <t>Inwestycje w jednostkach podporządkowanych wycenianych wg ceny nabycia</t>
  </si>
  <si>
    <t>Zmiana stanu inwestycji w jednostkach zależnych</t>
  </si>
  <si>
    <t>Zmiana stanu inwestycji w jednostkach współzależnych i stowarzyszonych</t>
  </si>
  <si>
    <t>Inwestycje długoterminowe</t>
  </si>
  <si>
    <t>Podatek dochodowy wykazany w kapitale własnym</t>
  </si>
  <si>
    <t>PLN</t>
  </si>
  <si>
    <t>EUR</t>
  </si>
  <si>
    <t>USD</t>
  </si>
  <si>
    <t>GBP</t>
  </si>
  <si>
    <t>CHF</t>
  </si>
  <si>
    <t>Ogółem</t>
  </si>
  <si>
    <t>krótkoterminowe</t>
  </si>
  <si>
    <t>długoterminowe</t>
  </si>
  <si>
    <t>Środki pieniężne w bilansie</t>
  </si>
  <si>
    <t>Działalność kontynuowana</t>
  </si>
  <si>
    <t>SUMA przychodów ogółem z działalności kontynuowanej</t>
  </si>
  <si>
    <t xml:space="preserve">SUMA przychodów ogółem </t>
  </si>
  <si>
    <t>Dotyczący roku obrotowego</t>
  </si>
  <si>
    <t>Korekty dotyczące lat ubiegłych</t>
  </si>
  <si>
    <t>Korzyść podatkowa / (obciążenie podatkowe) wykazane w pozostałych dochodach całkowitych</t>
  </si>
  <si>
    <t>zwiększenia</t>
  </si>
  <si>
    <t>zmniejszenia</t>
  </si>
  <si>
    <t>Suma ujemnych różnic przejściowych</t>
  </si>
  <si>
    <t>stawka podatkowa</t>
  </si>
  <si>
    <t>Aktywa z tytułu odroczonego podatku</t>
  </si>
  <si>
    <t>Suma dodatnich różnic przejściowych</t>
  </si>
  <si>
    <t>Rezerwa z tytułu podatku odroczonego na koniec okresu:</t>
  </si>
  <si>
    <t xml:space="preserve">Ujemne różnice przejściowe będące podstawą do tworzenia aktywa z tytułu podatku odroczonego </t>
  </si>
  <si>
    <r>
      <t>Koszty prac rozwojowych</t>
    </r>
    <r>
      <rPr>
        <b/>
        <vertAlign val="superscript"/>
        <sz val="8"/>
        <color indexed="8"/>
        <rFont val="Arial"/>
        <family val="2"/>
      </rPr>
      <t>1</t>
    </r>
  </si>
  <si>
    <r>
      <t>Patenty i licencje</t>
    </r>
    <r>
      <rPr>
        <b/>
        <vertAlign val="superscript"/>
        <sz val="8"/>
        <color indexed="8"/>
        <rFont val="Arial"/>
        <family val="2"/>
      </rPr>
      <t>2</t>
    </r>
  </si>
  <si>
    <r>
      <t>Oprogramowanie komputerowe</t>
    </r>
    <r>
      <rPr>
        <b/>
        <vertAlign val="superscript"/>
        <sz val="8"/>
        <rFont val="Arial"/>
        <family val="2"/>
      </rPr>
      <t>2</t>
    </r>
  </si>
  <si>
    <t>Wartości niematerialne w budowie</t>
  </si>
  <si>
    <t xml:space="preserve"> Należności leasingowe długoterminowe</t>
  </si>
  <si>
    <t xml:space="preserve"> Należności długoterminowe pozostałe</t>
  </si>
  <si>
    <t xml:space="preserve"> Należności leasingowe krótkoterminowe</t>
  </si>
  <si>
    <t>91-180</t>
  </si>
  <si>
    <t>Jednostki powiązane</t>
  </si>
  <si>
    <t>Stan odpisów aktualizujących wartość należności handlowych od jednostek powiązanych na koniec okresu</t>
  </si>
  <si>
    <t>Jednostki pozostałe</t>
  </si>
  <si>
    <t>Stan odpisów aktualizujących wartość należności handlowych od jednostek pozostałych na koniec okresu</t>
  </si>
  <si>
    <t>Stan odpisów aktualizujących wartość należności handlowych ogółem na koniec okresu</t>
  </si>
  <si>
    <t>Środki pieniężne i ich ekwiwalenty ogółem wykazane w rachunku przepływów pieniężnych</t>
  </si>
  <si>
    <t>Odsetki i udziały w zyskach (dywidendy) składają się z:</t>
  </si>
  <si>
    <t>odsetki zapłacone od udzielonych pożyczek</t>
  </si>
  <si>
    <t>odsetki zapłacone od kredytów</t>
  </si>
  <si>
    <t>odsetki od dłużnych papierów wartościowych</t>
  </si>
  <si>
    <t>odsetki zapłacone od długoterminowych należności</t>
  </si>
  <si>
    <t>odsetki naliczone od udzielonych pożyczek</t>
  </si>
  <si>
    <t>Zysk (strata) z działalności inwestycyjnej wynika z:</t>
  </si>
  <si>
    <t>wartość netto zlikwidowanych aktywów trwałych</t>
  </si>
  <si>
    <t>Zmiana należności wynika z następujących pozycji:</t>
  </si>
  <si>
    <t>zmiana stanu należności krótkoterminowych wynikająca z bilansu</t>
  </si>
  <si>
    <t>zmiana stanu należności długoterminowych wynikająca z bilansu</t>
  </si>
  <si>
    <t>Przychody ze sprzedaży usług</t>
  </si>
  <si>
    <t>Przychody ze sprzedaży produktów</t>
  </si>
  <si>
    <t>Przychody ze sprzedaży towarów i materiałów</t>
  </si>
  <si>
    <t>Zysk (strata) netto na jedną akcję (w zł)</t>
  </si>
  <si>
    <t>Inwestycje w jednostkach podporządkowanych</t>
  </si>
  <si>
    <t>Pozostałe aktywa trwałe</t>
  </si>
  <si>
    <t xml:space="preserve">Pozostałe należności </t>
  </si>
  <si>
    <t>Akcje własne</t>
  </si>
  <si>
    <t>Wynik finansowy bieżącego okresu</t>
  </si>
  <si>
    <r>
      <t xml:space="preserve">Świadczenia </t>
    </r>
    <r>
      <rPr>
        <b/>
        <sz val="8"/>
        <rFont val="Arial"/>
        <family val="2"/>
      </rPr>
      <t>wypłacone lub należne pozostałym członkom głównej kadry kierowniczej</t>
    </r>
  </si>
  <si>
    <t>Wynagrodzenia pozostałej kadry kierowniczej</t>
  </si>
  <si>
    <t>Środki pieniężne kasie i na rachunkach bankowych:</t>
  </si>
  <si>
    <t>Wrocław, ul. B.Prusa 5</t>
  </si>
  <si>
    <t>Podatek dochodowy wykazany w RZiS</t>
  </si>
  <si>
    <t>KOSZTY AMORTYZACJI  I ODPISÓW AKTUALIZUJĄCYCH UJĘTE W RZIS</t>
  </si>
  <si>
    <t>Zmiana stanu instrumentów finansowych</t>
  </si>
  <si>
    <t xml:space="preserve">Zmniejszenia </t>
  </si>
  <si>
    <t>15</t>
  </si>
  <si>
    <t>18</t>
  </si>
  <si>
    <t>- nabycia środków trwałych</t>
  </si>
  <si>
    <t>- wytworzenia we własnym zakresie środków trwałych</t>
  </si>
  <si>
    <t>- zawartych umów leasingu</t>
  </si>
  <si>
    <t>- przeszacowania</t>
  </si>
  <si>
    <t>- zbycia</t>
  </si>
  <si>
    <t>- likwidacji</t>
  </si>
  <si>
    <t>-  wniesienia aportu</t>
  </si>
  <si>
    <t>- amortyzacji</t>
  </si>
  <si>
    <t>- sprzedaży</t>
  </si>
  <si>
    <t>- utraty wartości</t>
  </si>
  <si>
    <t>- odwrócenie odpisów aktualizujących</t>
  </si>
  <si>
    <t>- likwidacji lub sprzedaży</t>
  </si>
  <si>
    <t>Akcjonariusz</t>
  </si>
  <si>
    <t>Rodzaj
uprzywilejo-
wania akcji</t>
  </si>
  <si>
    <t>Rodzaj
ograniczenia
praw do akcji</t>
  </si>
  <si>
    <t xml:space="preserve">Sposób
pokrycia
kapitału </t>
  </si>
  <si>
    <t>% kapitału akcyjnego</t>
  </si>
  <si>
    <t xml:space="preserve">Liczba głosów </t>
  </si>
  <si>
    <t>% głosów</t>
  </si>
  <si>
    <t>Pożyczki</t>
  </si>
  <si>
    <t>- długoterminowe</t>
  </si>
  <si>
    <t>- krótkoterminowe</t>
  </si>
  <si>
    <t>x</t>
  </si>
  <si>
    <t>Kredyty i pożyczki razem</t>
  </si>
  <si>
    <t>wartość
w walucie</t>
  </si>
  <si>
    <t>wartość 
w PLN</t>
  </si>
  <si>
    <t>Kredyty i pożyczki struktura walutowa:</t>
  </si>
  <si>
    <t xml:space="preserve">Razem </t>
  </si>
  <si>
    <t>Różnice kursowe z wyceny bilansowej</t>
  </si>
  <si>
    <t>Aktywa pieniężne kwalifikowane jako ekwiwalenty środków pieniężnych na potrzeby rachunku przepływów pieniężnych</t>
  </si>
  <si>
    <t>1,2</t>
  </si>
  <si>
    <t>4</t>
  </si>
  <si>
    <t>5</t>
  </si>
  <si>
    <t>6</t>
  </si>
  <si>
    <t>7</t>
  </si>
  <si>
    <t>Pozostałe zobowiązania krótkoterminowe</t>
  </si>
  <si>
    <t xml:space="preserve"> Instrumenty finansowe utrzymywane do terminu wymagalności</t>
  </si>
  <si>
    <t>- nabycia</t>
  </si>
  <si>
    <t>Składki na ubezpieczenie społeczne (ZUS)</t>
  </si>
  <si>
    <t>Akcyza</t>
  </si>
  <si>
    <t>Opłaty celne</t>
  </si>
  <si>
    <t>Bierne rozliczenia międzyokresowe</t>
  </si>
  <si>
    <t>Rozliczenia międzyokresowe przychodów</t>
  </si>
  <si>
    <t>Przychody przyszłych okresów</t>
  </si>
  <si>
    <t>Zysk (strata) przed opodatkowaniem</t>
  </si>
  <si>
    <t>Podatek dochodowy</t>
  </si>
  <si>
    <t>Odpisy aktualizujące należności</t>
  </si>
  <si>
    <t xml:space="preserve">Dodatnie różnice przejściowe będące podstawą do tworzenia rezerwy z tytułu podatku odroczonego </t>
  </si>
  <si>
    <t>- zakupu jednostki</t>
  </si>
  <si>
    <t>Zmiany odpisu aktualizującego należności handlowych</t>
  </si>
  <si>
    <t>Inne zobowiązania długoterminowe</t>
  </si>
  <si>
    <t xml:space="preserve">Spółka prezentuje segmenty działalności w jednostkowym sprawozdaniu finansowych według poniższego wzoru, w przypadku, gdy nie sporządza skonsolidowanego sprawozdania finansowego. </t>
  </si>
  <si>
    <t>Nota 1. PRZYCHODY ZE SPRZEDAŻY</t>
  </si>
  <si>
    <t>Nota 3. KOSZTY DZIAŁALNOŚCI OPERACYJNEJ</t>
  </si>
  <si>
    <t>Nota 4. POZOSTAŁE PRZYCHODY I KOSZTY OPERACYJNE</t>
  </si>
  <si>
    <t>Nota 5. PRZYCHODY  I KOSZTY FINANSOWE</t>
  </si>
  <si>
    <t>Nota 6. PODATEK DOCHODOWY I ODROCZONY PODATEK DOCHODOWY</t>
  </si>
  <si>
    <t>Nota 2. SEGMENTY OPERACYJNE</t>
  </si>
  <si>
    <t>RACHUNEK ZYSKÓW I STRAT</t>
  </si>
  <si>
    <t>BILANS</t>
  </si>
  <si>
    <t>RACHUNEK PRZEPŁYWÓW PIENIĘŻNYCH</t>
  </si>
  <si>
    <t>Kurs EUR/PLN</t>
  </si>
  <si>
    <t>- dla danych bilansowych</t>
  </si>
  <si>
    <t>- dla danych rachunku zysków i strat</t>
  </si>
  <si>
    <t>Do przeliczenia danych bilansowych użyto kursu średniego NBP na dzień bilansowy. 
Do przeliczenia pozycji rachunku zysków i strat oraz rachunku przepływów pieniężnych użyto kursu będącego średnią arytmetyczną kursów NBP obowiązujących na ostatni dzień poszczególnych miesięcy danego okresu.</t>
  </si>
  <si>
    <t>MSR 38.126</t>
  </si>
  <si>
    <t>KIMSF 17.15</t>
  </si>
  <si>
    <t>MSR 28.38</t>
  </si>
  <si>
    <t>Zyski (straty) aktuarialne z programów określonych świadczeń</t>
  </si>
  <si>
    <t>Przeszacownie rzeczowego majątku trwałego</t>
  </si>
  <si>
    <t>Kapitał zapasowy z emisji akcji powyżej wartości nominalnej</t>
  </si>
  <si>
    <t>19</t>
  </si>
  <si>
    <t>Nota 17. POZOSTAŁE AKTYWA TRWAŁE</t>
  </si>
  <si>
    <t>Pozycje, które nie będą przekwalifikowane do rachunku zysków i strat w kolejnych okresach</t>
  </si>
  <si>
    <t>INIS sp. z o.o., Rybnik</t>
  </si>
  <si>
    <t>pełna</t>
  </si>
  <si>
    <t>Sare GmbH, Berlin</t>
  </si>
  <si>
    <t>nieistotność</t>
  </si>
  <si>
    <t>Fundacja Force, Rybnik</t>
  </si>
  <si>
    <t>Rybnik, ul. Raciborska 35a</t>
  </si>
  <si>
    <t>Koszty działalności operacyjnej</t>
  </si>
  <si>
    <t xml:space="preserve">Zużycie materiałów i energii </t>
  </si>
  <si>
    <t xml:space="preserve">Usługi obce </t>
  </si>
  <si>
    <t xml:space="preserve">Ubezpieczenia społeczne i inne świadczenia </t>
  </si>
  <si>
    <t xml:space="preserve">Pozostałe koszty rodzajowe </t>
  </si>
  <si>
    <t>Koszt programu opcji managerskich</t>
  </si>
  <si>
    <t>Prace rozwojowe</t>
  </si>
  <si>
    <t>Raty za telefony</t>
  </si>
  <si>
    <t>Pozostałe rozliczenia międzyokresowe</t>
  </si>
  <si>
    <t>Seria A</t>
  </si>
  <si>
    <t>na okaziciela</t>
  </si>
  <si>
    <t>Seria B</t>
  </si>
  <si>
    <t>Karta kredytowa</t>
  </si>
  <si>
    <t>Rezerwa na badanie sprawozdania finansowego</t>
  </si>
  <si>
    <t>Rezerwa na ugodę</t>
  </si>
  <si>
    <t>3</t>
  </si>
  <si>
    <t>Nota 7. ZYSK PRZYPADAJĄCY NA JEDNĄ AKCJĘ</t>
  </si>
  <si>
    <t>Nota 9. RZECZOWE AKTYWA TRWAŁE</t>
  </si>
  <si>
    <t>9</t>
  </si>
  <si>
    <t>Nota 10. WARTOŚCI NIEMATERIALNE</t>
  </si>
  <si>
    <t>- wytworzenie we własnym zakresie wartości niematerialnych</t>
  </si>
  <si>
    <t>10</t>
  </si>
  <si>
    <t>11</t>
  </si>
  <si>
    <t>Nota 13. POZOSTAŁE AKTYWA FINANSOWE</t>
  </si>
  <si>
    <t xml:space="preserve">Nota 14. NALEŻNOŚCI HANDLOWE </t>
  </si>
  <si>
    <t xml:space="preserve">Nota 15. POZOSTAŁE NALEŻNOŚCI </t>
  </si>
  <si>
    <t>Nata 16. ROZLICZENIA MIĘDZYOKRESOWE</t>
  </si>
  <si>
    <t>Kapitał zakladowy struktura cd:</t>
  </si>
  <si>
    <t>20</t>
  </si>
  <si>
    <t>21</t>
  </si>
  <si>
    <t>22</t>
  </si>
  <si>
    <t>24</t>
  </si>
  <si>
    <t>25</t>
  </si>
  <si>
    <t>Nota 29. ZARZĄDZANIE KAPITAŁEM</t>
  </si>
  <si>
    <t>IT - Dział programowania</t>
  </si>
  <si>
    <t>Obsługa Klienta</t>
  </si>
  <si>
    <t>koszty finansowe leasing</t>
  </si>
  <si>
    <t>opcje managerskie</t>
  </si>
  <si>
    <t>13</t>
  </si>
  <si>
    <t>17</t>
  </si>
  <si>
    <t>- weryfikacja oraz opinia do historycznej informacji finansowej</t>
  </si>
  <si>
    <t>Inne, w tym oprogramowanie komputerowe</t>
  </si>
  <si>
    <t>Seria C</t>
  </si>
  <si>
    <t>Seria D</t>
  </si>
  <si>
    <t xml:space="preserve"> - sprzedaży</t>
  </si>
  <si>
    <t>Strata ze zbycia inwestycji</t>
  </si>
  <si>
    <t>Świadczenia wypłacane Członkom Rady Nadzorczej</t>
  </si>
  <si>
    <t>PFRON</t>
  </si>
  <si>
    <t>Zobowiązania z tytułu korekty VAT (ulga na złe długi)</t>
  </si>
  <si>
    <t>14</t>
  </si>
  <si>
    <t>12</t>
  </si>
  <si>
    <t>16</t>
  </si>
  <si>
    <t>Przychody netto ze sprzedaży produktów, towarów i materiałów</t>
  </si>
  <si>
    <t>zysk na okazjonalnym nabyciu</t>
  </si>
  <si>
    <t xml:space="preserve"> zł</t>
  </si>
  <si>
    <t>Zwrot zasądzonych kosztów sądowych</t>
  </si>
  <si>
    <t>Fundacja Rozwoju i Ochrony Komunikacji Elektronicznej</t>
  </si>
  <si>
    <t>SARE GmbH</t>
  </si>
  <si>
    <t>- odpis aktualizujący</t>
  </si>
  <si>
    <t>Pożyczki długoterminowe</t>
  </si>
  <si>
    <t>Pożyczki krótkoterminowe</t>
  </si>
  <si>
    <t>dywidendy otrzymane</t>
  </si>
  <si>
    <t>aktualizacja wartości aktywów niefinansowych</t>
  </si>
  <si>
    <t>Przeterminowane</t>
  </si>
  <si>
    <t>0-30</t>
  </si>
  <si>
    <t>31-90</t>
  </si>
  <si>
    <t>181-365</t>
  </si>
  <si>
    <t>powyżej 365</t>
  </si>
  <si>
    <t>należności brutto</t>
  </si>
  <si>
    <t>odpisy akualizujące</t>
  </si>
  <si>
    <t>nalezności netto</t>
  </si>
  <si>
    <t>Środki pieniężne kasie</t>
  </si>
  <si>
    <t>Środki pieniężne na rachunkach bankowych</t>
  </si>
  <si>
    <t>Paypal, Payu</t>
  </si>
  <si>
    <t xml:space="preserve">Odpisy aktualizujące </t>
  </si>
  <si>
    <t>Odsetki od pożyczek</t>
  </si>
  <si>
    <t xml:space="preserve">Jednostki powiązane </t>
  </si>
  <si>
    <t>Konta email, serwery, konta na portalach internetowych</t>
  </si>
  <si>
    <t>korekta VAT - 150 dni</t>
  </si>
  <si>
    <t>Rezerwa na zobowiązanie z tytułu korekty VAT (ulga na złe długi)</t>
  </si>
  <si>
    <t>Koszty według rodzajów ogółem</t>
  </si>
  <si>
    <t>Pozycje ujęte w kosztach amortyzacji</t>
  </si>
  <si>
    <t>Czynne rozliczenia międzyokresowe kosztów</t>
  </si>
  <si>
    <t>Zwiększenie/zmniejszenie stanu zapasów</t>
  </si>
  <si>
    <t>Zwiększenie/zmniejszenie stanu należności</t>
  </si>
  <si>
    <t>Zwiększenie/zmniejszenie stanu zobowiązań, z wyjątkiem kredytów i pożyczek oraz innych zobowiązań finansowych</t>
  </si>
  <si>
    <t>Zmiana stanu rozliczeń międzyokresowych</t>
  </si>
  <si>
    <t>Podatek dochodowy zapłacony</t>
  </si>
  <si>
    <t>Sprzedaż rzeczowych aktywów trwałych i aktywów niematerialnych</t>
  </si>
  <si>
    <t>Sprzedaż nieruchomości inwestycyjnych</t>
  </si>
  <si>
    <t>Sprzedaż inwestycji w jednostkach zależnych, stowarzyszonych i wspólnych przedsięwzięciach</t>
  </si>
  <si>
    <t xml:space="preserve">Spłata udzielonych pożyczek </t>
  </si>
  <si>
    <t>Nabycie rzeczowych akywów trwałych i aktywów niematerialnych</t>
  </si>
  <si>
    <t>Nabycie nieruchomości inwestycyjnych</t>
  </si>
  <si>
    <t>Nabycie inwestycji w jednostkach zależnych, stowarzyszonych i wspólnych przedsięwzięciach</t>
  </si>
  <si>
    <t>Udzielenie pożyczek</t>
  </si>
  <si>
    <t>Wpływy z tytułu emisji akcji</t>
  </si>
  <si>
    <t>Wpływy z tytułu zaciągnięcia pożyczek/kredytów</t>
  </si>
  <si>
    <t>Spłaty pożyczek/kredytów</t>
  </si>
  <si>
    <t>Odsetki zapłacone</t>
  </si>
  <si>
    <t>Dywidendy wypłacone</t>
  </si>
  <si>
    <t>Fundusze specjalne</t>
  </si>
  <si>
    <t>Salelifter sp. z o.o., Rybnik</t>
  </si>
  <si>
    <t>JU sp. z o.o. Rybnik</t>
  </si>
  <si>
    <t>Sales Intelligence S.A., Gdynia</t>
  </si>
  <si>
    <t>Fast White Cat S.A., Wrocław</t>
  </si>
  <si>
    <t>Adepto sp. z o.o, Rybnik</t>
  </si>
  <si>
    <t>- przyjęcia środka trwałego</t>
  </si>
  <si>
    <t xml:space="preserve"> - przyjęcia środka trwałego</t>
  </si>
  <si>
    <t>Nakłady na prace rozwojowe</t>
  </si>
  <si>
    <t>- odpisu aktualizujący</t>
  </si>
  <si>
    <t>- przyjęcia projektów na wartości niematerialne i prawne</t>
  </si>
  <si>
    <t xml:space="preserve"> -likwidacji</t>
  </si>
  <si>
    <t>Zobowiązania z tytułu leasingu</t>
  </si>
  <si>
    <t>- założenie spółek</t>
  </si>
  <si>
    <t>- przekształcenie spółki zależnej</t>
  </si>
  <si>
    <t>Korekty związane z wprowadzeniem MSSF 9</t>
  </si>
  <si>
    <t>Stan odpisów aktualizujących wartość należności handlowych na początek okresu po korektach</t>
  </si>
  <si>
    <t>-dokonanie odpisów na należności w związku z zastosowaniem MSSF 9</t>
  </si>
  <si>
    <t>- wycena bilansowa</t>
  </si>
  <si>
    <t>- wyksięgowanie należności i odpisu</t>
  </si>
  <si>
    <t>Polinvest 7 S.a.r.l.</t>
  </si>
  <si>
    <t>Licencje</t>
  </si>
  <si>
    <t>Targi</t>
  </si>
  <si>
    <t>Animator rynku</t>
  </si>
  <si>
    <t>dane w pełnych zł</t>
  </si>
  <si>
    <t>Ubezpieczenia majątkowe</t>
  </si>
  <si>
    <t>`</t>
  </si>
  <si>
    <t>aktualizacja wartości aktywów finansowych</t>
  </si>
  <si>
    <t>bilansowa zmiana stanu rezerw na zobowiązania</t>
  </si>
  <si>
    <t>korekta o otrzymany kredyt</t>
  </si>
  <si>
    <t>Amortyzacja:</t>
  </si>
  <si>
    <t>przychody ze sprzedaży wartości niematerialnych</t>
  </si>
  <si>
    <t>Zwiększenia</t>
  </si>
  <si>
    <t>DIGITREE GROUP S.A.</t>
  </si>
  <si>
    <t>Udział w zyskach (stratach) netto jednostek wycenianych metodą praw własności</t>
  </si>
  <si>
    <t>Prawo do użytkowania</t>
  </si>
  <si>
    <t>PRAWO DO UŻYTKOWANIA</t>
  </si>
  <si>
    <t>Prawo do użytkowania lokalu</t>
  </si>
  <si>
    <t>Prawo do użytkowania samochodu</t>
  </si>
  <si>
    <t>Korekta - zmiana polityki rachunkowości</t>
  </si>
  <si>
    <t>korekta - zmiana polityki rachunkowości</t>
  </si>
  <si>
    <t>Koszty finansowe z tytułu leasingu</t>
  </si>
  <si>
    <t>Wymiana udziałów w INIS na akcje DIGITREE</t>
  </si>
  <si>
    <t>Należności od podmiotów powiązanych, 
w tym z tyt. udzielonych pożyczek</t>
  </si>
  <si>
    <t>Digitree Group S.A.</t>
  </si>
  <si>
    <t>Fast White Cat S.A.</t>
  </si>
  <si>
    <t>Adepto Sp. z o.o.</t>
  </si>
  <si>
    <t>Seria E</t>
  </si>
  <si>
    <t>Seria G</t>
  </si>
  <si>
    <t>emisja akcji serii E</t>
  </si>
  <si>
    <t>emisja akcji serii G</t>
  </si>
  <si>
    <t>Noty związane z umową współpracy wewnątrzgrupową</t>
  </si>
  <si>
    <t>- rozwiązanie odpisów aktualizujących w związku z zastosowaniem MSSF 9</t>
  </si>
  <si>
    <t>Amortyzacja prawa do użytkowania</t>
  </si>
  <si>
    <t>Refaktury</t>
  </si>
  <si>
    <t>amortyzacja prawa do użytkowania</t>
  </si>
  <si>
    <t>korekta o zmianę zobowiązań finansowych</t>
  </si>
  <si>
    <t>korekta o zmianę innych zobowiązań</t>
  </si>
  <si>
    <t>Kapitał z wyceny instrumentów finansowych</t>
  </si>
  <si>
    <t>Inne dochody całkowite</t>
  </si>
  <si>
    <t>Zabezpieczenie przepływów pieniężnych</t>
  </si>
  <si>
    <t>Aktualizacja wartości aktywów finansowych</t>
  </si>
  <si>
    <t>Różnice kursowe z przeliczenia jednostek zagranicznych</t>
  </si>
  <si>
    <t>Udział w innych dochodach całkowitych jednostek stowarzyszonych i wspólnych przedsięwzięć</t>
  </si>
  <si>
    <t>Pozycje,  które mogą być przekwalifikowane do rachunku zysków i strat w kolejnych okresach</t>
  </si>
  <si>
    <t>Pozycje, które nie mogą być przekwalifikowane do rachunku zysków i strat w kolejnych okresach</t>
  </si>
  <si>
    <t>Zyski (straty) aktuarialne</t>
  </si>
  <si>
    <t>Dochody całkowite netto</t>
  </si>
  <si>
    <t>- sprzedaż udziałów w spółce zależnej</t>
  </si>
  <si>
    <t>- wymiana udziałów INIS na akcje DIGITREE</t>
  </si>
  <si>
    <t>- wycena udziałów do wartości godziwej</t>
  </si>
  <si>
    <t>- przeklasyfikowanie na jednostkę współzależną</t>
  </si>
  <si>
    <t>Wycena aktywów finansowych (Inne całkowite dochody)</t>
  </si>
  <si>
    <t xml:space="preserve">Zmiany zasad (polityki) rachunkowości </t>
  </si>
  <si>
    <t>Korekty z tyt. błędów podstawowych</t>
  </si>
  <si>
    <t>Wymiana udziałów w INIS na akcje DIGITREE GROUP</t>
  </si>
  <si>
    <t>Koszt emisji akcji</t>
  </si>
  <si>
    <t>Aktualizacja wartości pożyczek</t>
  </si>
  <si>
    <t>Aktualizacja wartości udziałów w innych jednostkach</t>
  </si>
  <si>
    <t>Metoda wyceny</t>
  </si>
  <si>
    <t>wycena metodą praw własności</t>
  </si>
  <si>
    <t>- rozwiązanie odpisu aktualizującego</t>
  </si>
  <si>
    <t>opcja PUT</t>
  </si>
  <si>
    <t xml:space="preserve"> - zakończenie umowy</t>
  </si>
  <si>
    <t>- zakończenie umowy</t>
  </si>
  <si>
    <t>Aktualizacja wartości WNIP</t>
  </si>
  <si>
    <t>Kary umowne</t>
  </si>
  <si>
    <t>- za przegląd półrocznego sprawozdania finansowego skonsolidowanego oraz przegląd jednostkowego sprawozdania finansowego</t>
  </si>
  <si>
    <t>- za raport z oceny sprawozdania o wynagrodzeniach</t>
  </si>
  <si>
    <t>Różnice kursowe</t>
  </si>
  <si>
    <t>Prowizja od przyznanych kredytów</t>
  </si>
  <si>
    <t xml:space="preserve">Tomasz Pruszczyński </t>
  </si>
  <si>
    <t>Andrzej Słomka</t>
  </si>
  <si>
    <t>Zobowiązania wobec podmiotów powiązanych, w tym z tyt. udzielonych pożyczek</t>
  </si>
  <si>
    <t>Salelifter Sp. z o.o.</t>
  </si>
  <si>
    <t>Zwiększenia:</t>
  </si>
  <si>
    <t>Zmniejszenia:</t>
  </si>
  <si>
    <t>System SARE</t>
  </si>
  <si>
    <t>SLA dla spółek w Grupie Kapitałowej</t>
  </si>
  <si>
    <t>Sms</t>
  </si>
  <si>
    <t>Usługi CS/IT</t>
  </si>
  <si>
    <t>Koszty postępowania sądowego</t>
  </si>
  <si>
    <t>Wartość
serii / emisji
wg wartości
nominalnej</t>
  </si>
  <si>
    <t>sprzedaż udziałów</t>
  </si>
  <si>
    <t>Podatek wyliczony według stawki 19%</t>
  </si>
  <si>
    <t>Efekt podatkowy przychodów niebędących przychodami wg przepisów podatkowych</t>
  </si>
  <si>
    <t>Efekt podatkowy kosztów niestanowiących kosztów uzyskania przychodów wg przepisów podatkowych</t>
  </si>
  <si>
    <t>Korekty wykazane w bieżącym okresie w odniesieniu do podatku lat ubiegłych</t>
  </si>
  <si>
    <t>Podatek po uwzględnieniu korekt</t>
  </si>
  <si>
    <t>Uzgodnienie efektywnej stawki podatkowej</t>
  </si>
  <si>
    <t>Nota 12. INWESTYCJE W JEDNOSTKACH PODPORZĄDKOWANYCH</t>
  </si>
  <si>
    <t>Podział instrumentów finansowych</t>
  </si>
  <si>
    <t>Zmiana stanu zadłuzenia</t>
  </si>
  <si>
    <t>Nota 30. INFORMACJE O PODMIOTACH POWIĄZANYCH</t>
  </si>
  <si>
    <t>Nota 31. WYNAGRODZENIA ZARZĄDU, RADY NADZORCZEJ, WYŻSZEJ KADRY KIEROWNICZEJ</t>
  </si>
  <si>
    <t>Nota 32. STRUKTURA ZATRUDNIENIA</t>
  </si>
  <si>
    <t>Nazwa</t>
  </si>
  <si>
    <t>AKTYWA WYCENIANE W ZAMORTYZOWANYM KOSZCIE</t>
  </si>
  <si>
    <t>Pozostałe należności</t>
  </si>
  <si>
    <t>ZOBOWIĄZANIA WYCENIANE W ZAMORTYZOWANYM KOSZCIE</t>
  </si>
  <si>
    <t xml:space="preserve">Pozostałe zobowiązania   </t>
  </si>
  <si>
    <t>AKTYWA WYCENIANE W WARTOŚCI GODZIWEJ PRZEZ WYNIK FINANSOWY</t>
  </si>
  <si>
    <t>AKTYWA WYCENIANE W WARTOŚCI GODZIWEJ PRZEZ CAŁKOWITE DOCHODY</t>
  </si>
  <si>
    <t>Pozycje przychodów, kosztów, zysków i strat ujęte w rachunku zysków i strat w podziale na kategorie instrumentów finansowych</t>
  </si>
  <si>
    <t>Aktywa wyceniane w zamortyzowanym koszcie</t>
  </si>
  <si>
    <t>Zobowiązania wyceniane w zamortyzowanym koszcie</t>
  </si>
  <si>
    <t>Aktywa wyceniane w wartości godziwej przez wynik finansowy</t>
  </si>
  <si>
    <t>Aktywa wyceniane w wartości godziwej przez całkowite dochody</t>
  </si>
  <si>
    <t>Przychody/koszty z tytułu odsetek</t>
  </si>
  <si>
    <t>Zyski/straty z tytułu różnic kursowych</t>
  </si>
  <si>
    <t>Utworzenie (-)/odwrócenie odpisów aktualizujących(+)</t>
  </si>
  <si>
    <t>Zyski/straty z tytułu wyceny do wartości godziwej</t>
  </si>
  <si>
    <t>Zyski/straty z tytułu sprzedaży</t>
  </si>
  <si>
    <t>Przychody/koszty z tytułu dyskonta należności/zobowiązań</t>
  </si>
  <si>
    <t>Utworzenie(-)/odwrócenie odpisów aktualizujących(+)</t>
  </si>
  <si>
    <t>Wpływy z tytułu zaciągnięcia zadłużenia:</t>
  </si>
  <si>
    <t>- otrzymane finansowanie</t>
  </si>
  <si>
    <t>- zawarcie nowych umów leasingu</t>
  </si>
  <si>
    <t>Korekty wynikające ze zmian w umowach leasingu</t>
  </si>
  <si>
    <t>Naliczone odsetki i prowizje</t>
  </si>
  <si>
    <t>Płatności z tytułu zadłużenia:</t>
  </si>
  <si>
    <t>- spłata zobowiązania (kapitału)</t>
  </si>
  <si>
    <t>- zapłacone odsetki i prowizje</t>
  </si>
  <si>
    <t>- spłata linii kredytowej</t>
  </si>
  <si>
    <t>Inne zwiększenia/zmniejszenia</t>
  </si>
  <si>
    <t>Korekta - zmiana polityki rachunkowości (MSSF 16)</t>
  </si>
  <si>
    <t>Stan na 1 stycznia 2019r. po zmianach polityki rachunkowości</t>
  </si>
  <si>
    <t>- zwiększenie linii kredytowej</t>
  </si>
  <si>
    <t>Bank</t>
  </si>
  <si>
    <t>Rating</t>
  </si>
  <si>
    <t>Agencja ratingująca</t>
  </si>
  <si>
    <t>A</t>
  </si>
  <si>
    <t xml:space="preserve">AAA </t>
  </si>
  <si>
    <t>FITCH</t>
  </si>
  <si>
    <t>B</t>
  </si>
  <si>
    <t>SUMA</t>
  </si>
  <si>
    <t>Tabela wymagalności w nominałach</t>
  </si>
  <si>
    <t>Poniżej roku</t>
  </si>
  <si>
    <t>Od 1 do 2 lat</t>
  </si>
  <si>
    <t>Od 2 do 5 lat</t>
  </si>
  <si>
    <t>Ponad 5 lat</t>
  </si>
  <si>
    <t>60 – 90 dni</t>
  </si>
  <si>
    <t>90 –180 dni</t>
  </si>
  <si>
    <t>180 – 360 dni</t>
  </si>
  <si>
    <t>Kredyt na refinansowanie inwestycji</t>
  </si>
  <si>
    <t>Kredyt w rachunku bieżącym</t>
  </si>
  <si>
    <t>Otrzymana pożyczka</t>
  </si>
  <si>
    <t>Zobowiązania z tyt. leasingu</t>
  </si>
  <si>
    <t>01.01.2021 - 31.12.2021</t>
  </si>
  <si>
    <t>stan na 31.12.2021r.</t>
  </si>
  <si>
    <t>dwanaście miesięcy zakończonych 31.12.2021r.</t>
  </si>
  <si>
    <t>Kapitał własny na dzień 01.01.2021r.</t>
  </si>
  <si>
    <t>Kapitał własny na dzień 31.12.2021r.</t>
  </si>
  <si>
    <t>Wynik za rok 2021</t>
  </si>
  <si>
    <t>Zmiany środków trwałych (wg grup rodzajowych) – za okres 01.01.2021-31.12.2021r.</t>
  </si>
  <si>
    <t>Wartość bilansowa brutto na dzień 01.01.2021r.</t>
  </si>
  <si>
    <t xml:space="preserve">Wartość bilansowa brutto na dzień 01.01.2021r. po korekcie </t>
  </si>
  <si>
    <t>Wartość bilansowa brutto na dzień 31.12.2021r.</t>
  </si>
  <si>
    <t>Umorzenie na dzień 01.01.2021r.</t>
  </si>
  <si>
    <t xml:space="preserve">Umorzenie na dzień 01.01.2021r. po korekcie </t>
  </si>
  <si>
    <t>Umorzenie na dzień 31.12.2021r.</t>
  </si>
  <si>
    <t>Wartość bilansowa netto na dzień 31.12.2021r.</t>
  </si>
  <si>
    <t>Zmiany wartości niematerialnych  (wg grup rodzajowych) – za okres 01.01.2021r.-31.12.2021r.</t>
  </si>
  <si>
    <t>Odpis aktualizujący na dzień 01.01.2021r.</t>
  </si>
  <si>
    <t>Odpis aktualizujący na dzień 31.12.2021r.</t>
  </si>
  <si>
    <t>Zmiany prawa do użytkowania (wg grup rodzajowych) - za okres 01.01.2021-31.12.2021r.</t>
  </si>
  <si>
    <t xml:space="preserve"> - zakończenia umowy</t>
  </si>
  <si>
    <t>- zakończenia umowy</t>
  </si>
  <si>
    <t>Inwestycje w jednostkach zależnych na dzień 31.12.2021r.</t>
  </si>
  <si>
    <t>Inwestycje w jednostkach współzależnych na dzień 31.12.2021r.</t>
  </si>
  <si>
    <t>01.01.2021-31.12.2021</t>
  </si>
  <si>
    <t>Kapitał zakładowy struktura na dzień 31.12.2021</t>
  </si>
  <si>
    <t>Stan na 1 stycznia 2021r.</t>
  </si>
  <si>
    <t>Stan na 31 grudnia 2021r.</t>
  </si>
  <si>
    <t>Stan na 1 stycznia 2020r. po zmianach polityki rachunkowości</t>
  </si>
  <si>
    <t>Stan na 01.01.2021r.</t>
  </si>
  <si>
    <t>Stan na 31.12.2021r., w tym:</t>
  </si>
  <si>
    <t>- zakończenie umów leasingu</t>
  </si>
  <si>
    <t xml:space="preserve"> - inne</t>
  </si>
  <si>
    <t>Odsetki</t>
  </si>
  <si>
    <t>Rezerwa na usługi</t>
  </si>
  <si>
    <t>INIS Sp. z o.o.</t>
  </si>
  <si>
    <t>JU: Sp. z o.o.</t>
  </si>
  <si>
    <t>Sales Intelligence S.A.</t>
  </si>
  <si>
    <t>Marketplaceme Sp. z o.o.</t>
  </si>
  <si>
    <t>Wyksięgowanie ulgi na złe długi</t>
  </si>
  <si>
    <t>- realizacja opcji PUT</t>
  </si>
  <si>
    <t xml:space="preserve">Podatek dochodowy od osób fizycznych </t>
  </si>
  <si>
    <t>- z tytułu podatku VAT</t>
  </si>
  <si>
    <t>- założenie spółki</t>
  </si>
  <si>
    <t>Marketplaceme sp. z o.o., Rybnik</t>
  </si>
  <si>
    <t>- z tytułu kont email, serwerów, kont na portalach internetowych (RMK)</t>
  </si>
  <si>
    <t>- z tytułu licencji (RMK)</t>
  </si>
  <si>
    <t>- z tytułu ubezpieczeń majątkowych (RMK)</t>
  </si>
  <si>
    <t>- pozostałe RMK</t>
  </si>
  <si>
    <t>NOTA POŁĄCZONA Z POZOSTAŁYMI NALEŻNOŚCIAMI</t>
  </si>
  <si>
    <t>Zyski zatrzymane</t>
  </si>
  <si>
    <t>Pozostałe kapitały rezerwowe</t>
  </si>
  <si>
    <t>Kapitały zapasowy z emisji akcji powyżej wartości nominalnej</t>
  </si>
  <si>
    <t>Korekty wynikające z obciążeń z tytułu podatku dochodowego</t>
  </si>
  <si>
    <t>Zysk / Strata netto</t>
  </si>
  <si>
    <t>odsetki naliczone od otrzymanych kredytów i pożyczek</t>
  </si>
  <si>
    <t>zmiana stanu rozliczeń międzyokresowych krótkoterminowych</t>
  </si>
  <si>
    <t>program motywacyjny - opcje na akcje</t>
  </si>
  <si>
    <t>Przychody z działalności zaniechanej</t>
  </si>
  <si>
    <t>Nienaliczone aktywa od straty podatkowej</t>
  </si>
  <si>
    <t>Nota 16. ŚRODKI PIENIĘŻNE I ICH EKWIWALENTY</t>
  </si>
  <si>
    <t xml:space="preserve">Nota 17. KAPITAŁ ZAKŁADOWY </t>
  </si>
  <si>
    <t>Nota 18. POZOSTAŁE KAPITAŁY</t>
  </si>
  <si>
    <t>Nota 19. KREDYTY I POŻYCZKI</t>
  </si>
  <si>
    <t xml:space="preserve">Nota 20. POZOSTAŁE ZOBOWIĄZANIA FINANSOWE </t>
  </si>
  <si>
    <t xml:space="preserve">Nota 21. ZOBOWIĄZANIA HANDLOWE </t>
  </si>
  <si>
    <t xml:space="preserve">Nota 22. POZOSTAŁE ZOBOWIĄZANIA </t>
  </si>
  <si>
    <t>Nota 23. Rozliczenia międzyokresowe przychodów</t>
  </si>
  <si>
    <t>Nota 24. REZERWY NA ŚWIADCZENIA EMERYTALNE I PODOBNE</t>
  </si>
  <si>
    <t>Nota 25. POZOSTAŁE REZERWY</t>
  </si>
  <si>
    <t>Nota 26. ZARZĄDZANIE RYZYKIEM</t>
  </si>
  <si>
    <t>Realizacja opcji PUT (Nota 12. Inwestycje w jednostkach podporządkowanych)</t>
  </si>
  <si>
    <t>Podstawowe dane i założenia</t>
  </si>
  <si>
    <t>Wielkość wycenianej puli Programu</t>
  </si>
  <si>
    <t>116.831 szt.</t>
  </si>
  <si>
    <t>Użyty model wyceny</t>
  </si>
  <si>
    <t>symulacja Monte-Carlo</t>
  </si>
  <si>
    <t>Data przyznania</t>
  </si>
  <si>
    <t>24 czerwca 2021 roku</t>
  </si>
  <si>
    <t>Okres nabywania uprawnień dla wycenianej puli Programu:</t>
  </si>
  <si>
    <t>24 czerwca 2021 roku –</t>
  </si>
  <si>
    <t xml:space="preserve"> 31 marca 2024 roku</t>
  </si>
  <si>
    <t>Cena wykonania Opcji</t>
  </si>
  <si>
    <t>Cena wejściowa do modelu wyceny</t>
  </si>
  <si>
    <t>Oczekiwana zmienność kursu akcji Spółki</t>
  </si>
  <si>
    <t>Stopa procentowa wolna od ryzyka</t>
  </si>
  <si>
    <t>Średni okres trwania życia opcji</t>
  </si>
  <si>
    <t>3,36 lata</t>
  </si>
  <si>
    <t>Założone dywidendy na jedną akcję</t>
  </si>
  <si>
    <t>Ilość symulowanych trajektorii</t>
  </si>
  <si>
    <t>75.000</t>
  </si>
  <si>
    <t>Sprzedaż grupowa</t>
  </si>
  <si>
    <t>Serwery dedykowane</t>
  </si>
  <si>
    <t>BBB-</t>
  </si>
  <si>
    <t>01.01.2022 - 31.12.2022</t>
  </si>
  <si>
    <t>stan na 31.12.2022r.</t>
  </si>
  <si>
    <t>SPR.</t>
  </si>
  <si>
    <t>Inwestycje w jednostkach zależnych na dzień 31.12.2022r.</t>
  </si>
  <si>
    <t>Inwestycje w jednostkach współzależnych na dzień 31.12.2022r.</t>
  </si>
  <si>
    <t>nie dotyczy w 2022 roku</t>
  </si>
  <si>
    <t>Zmiany środków trwałych (wg grup rodzajowych) – za okres 01.01.2022-31.12.2022r.</t>
  </si>
  <si>
    <t>Wartość bilansowa brutto na dzień 01.01.2022r.</t>
  </si>
  <si>
    <t xml:space="preserve">Wartość bilansowa brutto na dzień 01.01.2022r. po korekcie </t>
  </si>
  <si>
    <t>Wartość bilansowa brutto na dzień 31.12.2022r.</t>
  </si>
  <si>
    <t>Umorzenie na dzień 01.01.2022r.</t>
  </si>
  <si>
    <t xml:space="preserve">Umorzenie na dzień 01.01.2022r. po korekcie </t>
  </si>
  <si>
    <t>Umorzenie na dzień 31.12.2022r.</t>
  </si>
  <si>
    <t>Wartość bilansowa netto na dzień 31.12.2022r.</t>
  </si>
  <si>
    <t xml:space="preserve">Wartość bilansowa brutto na dzień 01.01.2021 po korekcie </t>
  </si>
  <si>
    <t>Umorzenie na dzień 01.01.2021 po korekcie</t>
  </si>
  <si>
    <t>Zmiany wartości niematerialnych  (wg grup rodzajowych) – za okres 01.01.2022r.-31.12.2022r.</t>
  </si>
  <si>
    <t>Odpis aktualizujący na dzień 01.01.2022r.</t>
  </si>
  <si>
    <t>Odpis aktualizujący na dzień 31.12.2022r.</t>
  </si>
  <si>
    <t>Zmiany prawa do użytkowania (wg grup rodzajowych) - za okres 01.01.2022-31.12.2022r.</t>
  </si>
  <si>
    <t>Stan na 1 stycznia 2022r.</t>
  </si>
  <si>
    <t>Stan na 31 grudnia 2022r.</t>
  </si>
  <si>
    <t>dwanaście miesięcy zakończonych 31.12.2022r.</t>
  </si>
  <si>
    <t>Kapitał własny na dzień 01.01.2022r.</t>
  </si>
  <si>
    <t>- sprzedaż jednostki współzależnej</t>
  </si>
  <si>
    <t>01.01.2022-31.12.2022</t>
  </si>
  <si>
    <t>Bieżące i przeterminowane należności handlowe na 31.12.2022 r.</t>
  </si>
  <si>
    <t>Kapitał zakładowy struktura na dzień 31.12.2022</t>
  </si>
  <si>
    <t>Stan na 01.01.2022r.</t>
  </si>
  <si>
    <t>Stan na 31.12.2022r., w tym:</t>
  </si>
  <si>
    <t>Kapitał własny na dzień 31.12.2022r.</t>
  </si>
  <si>
    <t>Wynik za rok 2022</t>
  </si>
  <si>
    <t>2021 - uzupełnione</t>
  </si>
  <si>
    <t>- zakupu udziałów w spółce zależnej</t>
  </si>
  <si>
    <t>EUVIC IT S.A</t>
  </si>
  <si>
    <t>Nabycie inwestycji w instrumenty kapitałowe</t>
  </si>
  <si>
    <t>Aport w zamian za udziały</t>
  </si>
  <si>
    <t>sprzedaż środków trwałych</t>
  </si>
  <si>
    <t>korekta o zobowiązania na zakup akcji</t>
  </si>
  <si>
    <t>n/d</t>
  </si>
  <si>
    <t>- inne należności</t>
  </si>
  <si>
    <t>Strata ze sprzedaży akcji FWC</t>
  </si>
  <si>
    <t>Strata ze zbycia niefinansowych aktywów trwałych</t>
  </si>
  <si>
    <t>Przekazane darowizny</t>
  </si>
  <si>
    <t>Wynik na sprzedaży udziałów w Adepto/objęcie udziałów w FINELF</t>
  </si>
  <si>
    <t>Rozliczenie przychodów z sms (MMSF 15)</t>
  </si>
  <si>
    <t>Faktury dotyczące kolejnego okresu sprawozdawczego</t>
  </si>
  <si>
    <t>Faktury rozliczane w czasie</t>
  </si>
  <si>
    <t>Rozliczenia międzyokresowe przychodów:</t>
  </si>
  <si>
    <t>Przychody przyszłych okresów, w tym:</t>
  </si>
  <si>
    <t>Inwestycje w instrumenty kapitałowe</t>
  </si>
  <si>
    <t>Jednostki powiązane osobowo ze spółką dominującą (Zarząd):</t>
  </si>
  <si>
    <t>KZ Advisory Konrad Zaczek</t>
  </si>
  <si>
    <t>UNMESS Wiktor Mazur</t>
  </si>
  <si>
    <t>Zaliczka na dywidendę</t>
  </si>
  <si>
    <t>Zakup akcji Fast White Cat</t>
  </si>
  <si>
    <t xml:space="preserve">Spłata zobowiązań z tytułu leasingu </t>
  </si>
  <si>
    <t>Rok</t>
  </si>
  <si>
    <t>Wysokość straty podatkowej</t>
  </si>
  <si>
    <t>Wysokość straty podatkowej od której nie utworzono aktywa</t>
  </si>
  <si>
    <t>Data wygaśnięcia</t>
  </si>
  <si>
    <t>Klasa aktywów</t>
  </si>
  <si>
    <t>Technika wyceny</t>
  </si>
  <si>
    <t xml:space="preserve">Istotne dane </t>
  </si>
  <si>
    <t>Zakres (średnia ważona)</t>
  </si>
  <si>
    <t>Analiza wrażliwości</t>
  </si>
  <si>
    <t>system SARE</t>
  </si>
  <si>
    <t>metoda DCF</t>
  </si>
  <si>
    <t>stopa dyskontowa</t>
  </si>
  <si>
    <t>Wzrost/ spadek o 1 p.p. stopy dyskontowej będzie skutkował odpowiednio spadkiem o 298 tys./wzrostem o 323 tys. wartości godziwej.                                                                                                                                                                                                                                                                Wzrost stopy dyskontowej powyżej 11,63 p.p. spowoduje spadek wartości godziwej poniżej wartości księgowej.</t>
  </si>
  <si>
    <t>opłata licencyjna</t>
  </si>
  <si>
    <t>Indywidualny abonament dla każdego klienta</t>
  </si>
  <si>
    <t>Spadek/wzrost o 1 p.p. wysokości opłaty licencyjnej będzie skutkował spadkiem/wzrostem wartości godziwej o  166 tys. PLN.</t>
  </si>
  <si>
    <t>Zobowiązania leasingowe</t>
  </si>
  <si>
    <r>
      <t xml:space="preserve">Jeżeli Spółka sporządza skonsolidowane sprawozdanie finansowe wówczas segmenty prezentowane są </t>
    </r>
    <r>
      <rPr>
        <b/>
        <u val="single"/>
        <sz val="10"/>
        <color indexed="10"/>
        <rFont val="Arial"/>
        <family val="2"/>
      </rPr>
      <t>tylko i wyłącznie</t>
    </r>
    <r>
      <rPr>
        <b/>
        <sz val="10"/>
        <color indexed="10"/>
        <rFont val="Arial"/>
        <family val="2"/>
      </rPr>
      <t xml:space="preserve"> w skonsolidowanym sprawozdaniu finansowym. W jednostkowym sprawozdaniu pozostaje jedynie informacja: „Zostały zamieszczone w nocie 2  skonsolidowanego sprawozdania finansowego za okres 12 miesięcy zakończony 31 grudnia 2022 roku.„</t>
    </r>
  </si>
  <si>
    <t>Nota 35. PROGRAM OPCJI MANAGERSKICH</t>
  </si>
  <si>
    <t xml:space="preserve">Nota 36. INFORMACJE O TRANSAKCJACH Z PODMIOTEM DOKONUJĄCYM BADANIA SPRAWOZDANIA </t>
  </si>
  <si>
    <t>Nota 37. Objaśnienia do rachunku przepływów pieniężnych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</si>
</sst>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);\(#,##0\);\-______"/>
    <numFmt numFmtId="171" formatCode="#,##0.000_);\(#,##0.000\);\-______"/>
    <numFmt numFmtId="172" formatCode="#,##0.00_);\(#,##0.00\);\-______"/>
    <numFmt numFmtId="173" formatCode="#,##0.0_);\(#,##0.0\);\-______"/>
    <numFmt numFmtId="174" formatCode="0.0%"/>
    <numFmt numFmtId="175" formatCode="#,##0.00;\(#,##0.00\)"/>
    <numFmt numFmtId="176" formatCode="#,##0.0"/>
    <numFmt numFmtId="177" formatCode="#,##0.0000_);\(#,##0.0000\);\-______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0.0"/>
    <numFmt numFmtId="184" formatCode="_-* #,##0.0\ _z_ł_-;\-* #,##0.0\ _z_ł_-;_-* &quot;-&quot;??\ _z_ł_-;_-@_-"/>
    <numFmt numFmtId="185" formatCode="#,##0.00000_);\(#,##0.00000\);\-______"/>
    <numFmt numFmtId="186" formatCode="#,##0.000000_);\(#,##0.000000\);\-______"/>
    <numFmt numFmtId="187" formatCode="#,##0.0000000_);\(#,##0.0000000\);\-______"/>
    <numFmt numFmtId="188" formatCode="[$-415]d\ mmmm\ yyyy"/>
    <numFmt numFmtId="189" formatCode="#,##0.00\ _z_ł"/>
    <numFmt numFmtId="190" formatCode="0.0000"/>
    <numFmt numFmtId="191" formatCode="[$-415]dddd\,\ d\ mmmm\ yyyy"/>
    <numFmt numFmtId="192" formatCode="yyyy\-mm\-dd;@"/>
  </numFmts>
  <fonts count="82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23"/>
      <name val="Arial"/>
      <family val="2"/>
    </font>
    <font>
      <i/>
      <sz val="8"/>
      <color indexed="55"/>
      <name val="Arial"/>
      <family val="2"/>
    </font>
    <font>
      <b/>
      <sz val="11"/>
      <name val="Arial"/>
      <family val="2"/>
    </font>
    <font>
      <i/>
      <sz val="8"/>
      <color indexed="22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4"/>
      <name val="Arial"/>
      <family val="2"/>
    </font>
    <font>
      <u val="single"/>
      <sz val="9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55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79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70" fontId="5" fillId="0" borderId="0" xfId="147" applyNumberFormat="1" applyFont="1" applyFill="1" applyBorder="1" applyAlignment="1" applyProtection="1">
      <alignment/>
      <protection locked="0"/>
    </xf>
    <xf numFmtId="174" fontId="1" fillId="0" borderId="10" xfId="147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146" applyFont="1" applyBorder="1">
      <alignment/>
      <protection/>
    </xf>
    <xf numFmtId="0" fontId="0" fillId="33" borderId="0" xfId="146" applyFont="1" applyFill="1" applyBorder="1" applyAlignment="1">
      <alignment vertical="center"/>
      <protection/>
    </xf>
    <xf numFmtId="0" fontId="18" fillId="0" borderId="0" xfId="146" applyFont="1" applyBorder="1" applyAlignment="1">
      <alignment vertical="center"/>
      <protection/>
    </xf>
    <xf numFmtId="0" fontId="13" fillId="0" borderId="0" xfId="146" applyFont="1" applyBorder="1" applyAlignment="1">
      <alignment vertical="center"/>
      <protection/>
    </xf>
    <xf numFmtId="0" fontId="0" fillId="0" borderId="0" xfId="146" applyFont="1" applyBorder="1" applyAlignment="1">
      <alignment vertical="center"/>
      <protection/>
    </xf>
    <xf numFmtId="0" fontId="20" fillId="0" borderId="0" xfId="146" applyFont="1" applyFill="1" applyBorder="1" applyAlignment="1">
      <alignment wrapText="1"/>
      <protection/>
    </xf>
    <xf numFmtId="4" fontId="20" fillId="0" borderId="0" xfId="146" applyNumberFormat="1" applyFont="1" applyFill="1" applyBorder="1" applyAlignment="1" applyProtection="1">
      <alignment wrapText="1"/>
      <protection locked="0"/>
    </xf>
    <xf numFmtId="0" fontId="20" fillId="0" borderId="0" xfId="146" applyFont="1" applyBorder="1">
      <alignment/>
      <protection/>
    </xf>
    <xf numFmtId="0" fontId="0" fillId="0" borderId="0" xfId="146" applyFont="1" applyFill="1" applyBorder="1">
      <alignment/>
      <protection/>
    </xf>
    <xf numFmtId="4" fontId="0" fillId="0" borderId="0" xfId="146" applyNumberFormat="1" applyFont="1" applyFill="1" applyBorder="1" applyAlignment="1" applyProtection="1">
      <alignment wrapText="1"/>
      <protection locked="0"/>
    </xf>
    <xf numFmtId="0" fontId="0" fillId="0" borderId="0" xfId="146" applyFont="1" applyFill="1" applyBorder="1" applyAlignment="1">
      <alignment wrapText="1"/>
      <protection/>
    </xf>
    <xf numFmtId="4" fontId="21" fillId="0" borderId="0" xfId="146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0" xfId="146" applyFont="1" applyBorder="1" applyAlignment="1">
      <alignment wrapText="1"/>
      <protection/>
    </xf>
    <xf numFmtId="0" fontId="0" fillId="0" borderId="0" xfId="146" applyFont="1">
      <alignment/>
      <protection/>
    </xf>
    <xf numFmtId="0" fontId="0" fillId="33" borderId="0" xfId="146" applyFont="1" applyFill="1" applyAlignment="1">
      <alignment vertical="center"/>
      <protection/>
    </xf>
    <xf numFmtId="0" fontId="0" fillId="0" borderId="0" xfId="146" applyFont="1" applyAlignment="1">
      <alignment vertical="center"/>
      <protection/>
    </xf>
    <xf numFmtId="0" fontId="13" fillId="0" borderId="0" xfId="146" applyFont="1" applyAlignment="1">
      <alignment vertical="center"/>
      <protection/>
    </xf>
    <xf numFmtId="0" fontId="18" fillId="0" borderId="0" xfId="146" applyFont="1" applyAlignment="1">
      <alignment vertical="center"/>
      <protection/>
    </xf>
    <xf numFmtId="0" fontId="20" fillId="0" borderId="0" xfId="146" applyFont="1" applyAlignment="1">
      <alignment vertical="center"/>
      <protection/>
    </xf>
    <xf numFmtId="0" fontId="20" fillId="0" borderId="0" xfId="146" applyFont="1">
      <alignment/>
      <protection/>
    </xf>
    <xf numFmtId="0" fontId="0" fillId="34" borderId="0" xfId="146" applyFont="1" applyFill="1" applyAlignment="1">
      <alignment vertical="center"/>
      <protection/>
    </xf>
    <xf numFmtId="0" fontId="13" fillId="0" borderId="0" xfId="146" applyFont="1" applyFill="1" applyBorder="1" applyAlignment="1">
      <alignment vertical="center"/>
      <protection/>
    </xf>
    <xf numFmtId="0" fontId="6" fillId="0" borderId="0" xfId="130" applyFont="1" applyAlignment="1" applyProtection="1" quotePrefix="1">
      <alignment vertical="top"/>
      <protection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18" fillId="0" borderId="0" xfId="146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wrapText="1"/>
    </xf>
    <xf numFmtId="0" fontId="6" fillId="0" borderId="0" xfId="130" applyFont="1" applyFill="1" applyBorder="1" applyAlignment="1" applyProtection="1" quotePrefix="1">
      <alignment vertical="top"/>
      <protection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22" fillId="0" borderId="1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6" fillId="0" borderId="0" xfId="130" applyFont="1" applyFill="1" applyAlignment="1" applyProtection="1" quotePrefix="1">
      <alignment vertical="top"/>
      <protection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172" fontId="2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 indent="3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wrapText="1" indent="3"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170" fontId="5" fillId="35" borderId="10" xfId="147" applyNumberFormat="1" applyFont="1" applyFill="1" applyBorder="1" applyAlignment="1" applyProtection="1">
      <alignment horizontal="center" vertical="center" wrapText="1"/>
      <protection locked="0"/>
    </xf>
    <xf numFmtId="170" fontId="5" fillId="35" borderId="13" xfId="14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justify"/>
    </xf>
    <xf numFmtId="0" fontId="14" fillId="0" borderId="0" xfId="0" applyFont="1" applyFill="1" applyBorder="1" applyAlignment="1">
      <alignment horizontal="justify" wrapText="1"/>
    </xf>
    <xf numFmtId="0" fontId="5" fillId="35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justify"/>
    </xf>
    <xf numFmtId="0" fontId="5" fillId="35" borderId="1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19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justify"/>
    </xf>
    <xf numFmtId="172" fontId="1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/>
    </xf>
    <xf numFmtId="3" fontId="1" fillId="0" borderId="10" xfId="147" applyNumberFormat="1" applyFont="1" applyFill="1" applyBorder="1" applyAlignment="1" applyProtection="1">
      <alignment/>
      <protection locked="0"/>
    </xf>
    <xf numFmtId="3" fontId="5" fillId="0" borderId="10" xfId="147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justify"/>
    </xf>
    <xf numFmtId="0" fontId="1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wrapText="1"/>
    </xf>
    <xf numFmtId="0" fontId="12" fillId="0" borderId="0" xfId="0" applyFont="1" applyFill="1" applyBorder="1" applyAlignment="1">
      <alignment horizontal="justify" wrapText="1"/>
    </xf>
    <xf numFmtId="49" fontId="1" fillId="0" borderId="12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wrapText="1"/>
    </xf>
    <xf numFmtId="170" fontId="5" fillId="35" borderId="10" xfId="147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3" fontId="3" fillId="0" borderId="10" xfId="0" applyNumberFormat="1" applyFont="1" applyBorder="1" applyAlignment="1">
      <alignment horizontal="right" wrapText="1"/>
    </xf>
    <xf numFmtId="3" fontId="3" fillId="0" borderId="15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 vertical="top" wrapText="1" indent="3"/>
    </xf>
    <xf numFmtId="3" fontId="3" fillId="0" borderId="15" xfId="0" applyNumberFormat="1" applyFont="1" applyFill="1" applyBorder="1" applyAlignment="1">
      <alignment horizontal="right" vertical="top" wrapText="1" indent="3"/>
    </xf>
    <xf numFmtId="3" fontId="3" fillId="0" borderId="15" xfId="0" applyNumberFormat="1" applyFont="1" applyFill="1" applyBorder="1" applyAlignment="1">
      <alignment horizontal="right" wrapText="1" indent="3"/>
    </xf>
    <xf numFmtId="3" fontId="2" fillId="0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vertical="top" wrapText="1"/>
    </xf>
    <xf numFmtId="3" fontId="5" fillId="0" borderId="16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1" fillId="0" borderId="10" xfId="147" applyNumberFormat="1" applyFont="1" applyFill="1" applyBorder="1" applyAlignment="1" applyProtection="1">
      <alignment/>
      <protection locked="0"/>
    </xf>
    <xf numFmtId="0" fontId="2" fillId="35" borderId="15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0" fillId="0" borderId="10" xfId="0" applyFont="1" applyFill="1" applyBorder="1" applyAlignment="1">
      <alignment wrapText="1"/>
    </xf>
    <xf numFmtId="172" fontId="5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2" xfId="147" applyNumberFormat="1" applyFont="1" applyFill="1" applyBorder="1" applyAlignment="1" applyProtection="1">
      <alignment/>
      <protection locked="0"/>
    </xf>
    <xf numFmtId="3" fontId="5" fillId="0" borderId="12" xfId="147" applyNumberFormat="1" applyFont="1" applyFill="1" applyBorder="1" applyAlignment="1" applyProtection="1">
      <alignment/>
      <protection locked="0"/>
    </xf>
    <xf numFmtId="3" fontId="1" fillId="0" borderId="10" xfId="0" applyNumberFormat="1" applyFont="1" applyBorder="1" applyAlignment="1">
      <alignment horizontal="right"/>
    </xf>
    <xf numFmtId="0" fontId="0" fillId="0" borderId="0" xfId="146" applyFont="1" applyBorder="1" applyAlignment="1">
      <alignment wrapText="1"/>
      <protection/>
    </xf>
    <xf numFmtId="0" fontId="2" fillId="0" borderId="0" xfId="0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 indent="3"/>
    </xf>
    <xf numFmtId="0" fontId="9" fillId="0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center" vertical="center" wrapText="1"/>
    </xf>
    <xf numFmtId="49" fontId="5" fillId="0" borderId="10" xfId="146" applyNumberFormat="1" applyFont="1" applyFill="1" applyBorder="1" applyAlignment="1">
      <alignment vertical="center" wrapText="1"/>
      <protection/>
    </xf>
    <xf numFmtId="49" fontId="1" fillId="0" borderId="10" xfId="146" applyNumberFormat="1" applyFont="1" applyFill="1" applyBorder="1" applyAlignment="1">
      <alignment horizontal="left" vertical="center" wrapText="1"/>
      <protection/>
    </xf>
    <xf numFmtId="49" fontId="10" fillId="0" borderId="10" xfId="146" applyNumberFormat="1" applyFont="1" applyFill="1" applyBorder="1" applyAlignment="1">
      <alignment horizontal="left" vertical="center" wrapText="1"/>
      <protection/>
    </xf>
    <xf numFmtId="49" fontId="1" fillId="0" borderId="10" xfId="146" applyNumberFormat="1" applyFont="1" applyFill="1" applyBorder="1" applyAlignment="1">
      <alignment vertical="center" wrapText="1"/>
      <protection/>
    </xf>
    <xf numFmtId="49" fontId="10" fillId="0" borderId="10" xfId="146" applyNumberFormat="1" applyFont="1" applyFill="1" applyBorder="1" applyAlignment="1">
      <alignment vertical="center" wrapText="1"/>
      <protection/>
    </xf>
    <xf numFmtId="49" fontId="5" fillId="0" borderId="10" xfId="146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justify" vertical="center" wrapText="1"/>
    </xf>
    <xf numFmtId="4" fontId="5" fillId="0" borderId="10" xfId="146" applyNumberFormat="1" applyFont="1" applyFill="1" applyBorder="1" applyAlignment="1">
      <alignment horizontal="right" vertical="center" wrapText="1"/>
      <protection/>
    </xf>
    <xf numFmtId="4" fontId="1" fillId="0" borderId="10" xfId="146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146" applyNumberFormat="1" applyFont="1" applyFill="1" applyBorder="1" applyAlignment="1" applyProtection="1">
      <alignment horizontal="right" vertical="center" wrapText="1"/>
      <protection locked="0"/>
    </xf>
    <xf numFmtId="0" fontId="5" fillId="35" borderId="10" xfId="146" applyFont="1" applyFill="1" applyBorder="1" applyAlignment="1">
      <alignment horizontal="center" vertical="center" wrapText="1"/>
      <protection/>
    </xf>
    <xf numFmtId="49" fontId="1" fillId="0" borderId="10" xfId="146" applyNumberFormat="1" applyFont="1" applyFill="1" applyBorder="1" applyAlignment="1">
      <alignment horizontal="center" vertical="center" wrapText="1"/>
      <protection/>
    </xf>
    <xf numFmtId="0" fontId="5" fillId="0" borderId="0" xfId="146" applyFont="1" applyAlignment="1">
      <alignment vertical="center"/>
      <protection/>
    </xf>
    <xf numFmtId="0" fontId="1" fillId="0" borderId="0" xfId="146" applyFont="1" applyAlignment="1">
      <alignment vertical="center"/>
      <protection/>
    </xf>
    <xf numFmtId="0" fontId="1" fillId="0" borderId="0" xfId="146" applyFont="1" applyFill="1" applyAlignment="1">
      <alignment vertical="center"/>
      <protection/>
    </xf>
    <xf numFmtId="0" fontId="1" fillId="33" borderId="0" xfId="146" applyFont="1" applyFill="1" applyAlignment="1">
      <alignment vertical="center"/>
      <protection/>
    </xf>
    <xf numFmtId="49" fontId="5" fillId="0" borderId="11" xfId="146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/>
    </xf>
    <xf numFmtId="49" fontId="1" fillId="0" borderId="10" xfId="146" applyNumberFormat="1" applyFont="1" applyFill="1" applyBorder="1" applyAlignment="1">
      <alignment horizontal="left" vertical="center" wrapText="1" indent="1"/>
      <protection/>
    </xf>
    <xf numFmtId="0" fontId="24" fillId="0" borderId="0" xfId="130" applyFont="1" applyBorder="1" applyAlignment="1" applyProtection="1" quotePrefix="1">
      <alignment vertical="top"/>
      <protection/>
    </xf>
    <xf numFmtId="49" fontId="5" fillId="0" borderId="10" xfId="146" applyNumberFormat="1" applyFont="1" applyFill="1" applyBorder="1" applyAlignment="1">
      <alignment horizontal="center" vertical="center" wrapText="1"/>
      <protection/>
    </xf>
    <xf numFmtId="49" fontId="5" fillId="35" borderId="15" xfId="146" applyNumberFormat="1" applyFont="1" applyFill="1" applyBorder="1" applyAlignment="1">
      <alignment horizontal="center" vertical="center" wrapText="1"/>
      <protection/>
    </xf>
    <xf numFmtId="49" fontId="5" fillId="35" borderId="10" xfId="146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>
      <alignment/>
    </xf>
    <xf numFmtId="0" fontId="0" fillId="0" borderId="0" xfId="146" applyFont="1" applyFill="1" applyAlignment="1">
      <alignment vertical="center"/>
      <protection/>
    </xf>
    <xf numFmtId="0" fontId="20" fillId="0" borderId="0" xfId="0" applyFont="1" applyFill="1" applyAlignment="1">
      <alignment/>
    </xf>
    <xf numFmtId="0" fontId="24" fillId="0" borderId="0" xfId="130" applyFont="1" applyFill="1" applyBorder="1" applyAlignment="1" applyProtection="1" quotePrefix="1">
      <alignment vertical="top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left" wrapText="1"/>
    </xf>
    <xf numFmtId="3" fontId="1" fillId="0" borderId="10" xfId="0" applyNumberFormat="1" applyFont="1" applyFill="1" applyBorder="1" applyAlignment="1" quotePrefix="1">
      <alignment/>
    </xf>
    <xf numFmtId="0" fontId="25" fillId="0" borderId="0" xfId="130" applyFont="1" applyFill="1" applyAlignment="1" applyProtection="1" quotePrefix="1">
      <alignment vertical="top"/>
      <protection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0" fillId="0" borderId="12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25" fillId="0" borderId="0" xfId="130" applyFont="1" applyFill="1" applyAlignment="1" applyProtection="1" quotePrefix="1">
      <alignment vertical="top"/>
      <protection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top" wrapText="1"/>
    </xf>
    <xf numFmtId="3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justify"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horizontal="justify"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3" fontId="1" fillId="36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3" fontId="1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17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 quotePrefix="1">
      <alignment/>
    </xf>
    <xf numFmtId="0" fontId="3" fillId="0" borderId="10" xfId="0" applyFont="1" applyFill="1" applyBorder="1" applyAlignment="1" quotePrefix="1">
      <alignment vertical="top" wrapText="1"/>
    </xf>
    <xf numFmtId="0" fontId="2" fillId="0" borderId="0" xfId="0" applyFont="1" applyFill="1" applyBorder="1" applyAlignment="1">
      <alignment vertical="top" wrapText="1"/>
    </xf>
    <xf numFmtId="3" fontId="1" fillId="36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wrapText="1"/>
    </xf>
    <xf numFmtId="3" fontId="1" fillId="0" borderId="10" xfId="147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left" vertical="center" wrapText="1"/>
    </xf>
    <xf numFmtId="3" fontId="5" fillId="0" borderId="10" xfId="147" applyNumberFormat="1" applyFont="1" applyFill="1" applyBorder="1" applyAlignment="1" applyProtection="1">
      <alignment vertical="center"/>
      <protection locked="0"/>
    </xf>
    <xf numFmtId="3" fontId="1" fillId="0" borderId="10" xfId="147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left" vertical="center" wrapText="1"/>
    </xf>
    <xf numFmtId="3" fontId="5" fillId="0" borderId="10" xfId="147" applyNumberFormat="1" applyFont="1" applyFill="1" applyBorder="1" applyAlignment="1" applyProtection="1">
      <alignment/>
      <protection locked="0"/>
    </xf>
    <xf numFmtId="3" fontId="1" fillId="0" borderId="10" xfId="147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left" indent="1"/>
    </xf>
    <xf numFmtId="3" fontId="10" fillId="0" borderId="10" xfId="147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 quotePrefix="1">
      <alignment wrapText="1"/>
    </xf>
    <xf numFmtId="3" fontId="5" fillId="0" borderId="10" xfId="147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3" fillId="36" borderId="0" xfId="0" applyNumberFormat="1" applyFont="1" applyFill="1" applyBorder="1" applyAlignment="1">
      <alignment horizontal="right" vertical="top" wrapText="1"/>
    </xf>
    <xf numFmtId="3" fontId="3" fillId="36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0" fillId="0" borderId="0" xfId="0" applyNumberFormat="1" applyFill="1" applyAlignment="1">
      <alignment/>
    </xf>
    <xf numFmtId="3" fontId="1" fillId="36" borderId="0" xfId="0" applyNumberFormat="1" applyFont="1" applyFill="1" applyBorder="1" applyAlignment="1">
      <alignment horizontal="right" vertical="center" wrapText="1"/>
    </xf>
    <xf numFmtId="3" fontId="1" fillId="36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3" fontId="1" fillId="36" borderId="0" xfId="0" applyNumberFormat="1" applyFont="1" applyFill="1" applyAlignment="1">
      <alignment vertical="center"/>
    </xf>
    <xf numFmtId="0" fontId="22" fillId="0" borderId="0" xfId="0" applyFont="1" applyBorder="1" applyAlignment="1">
      <alignment horizontal="right" vertical="center"/>
    </xf>
    <xf numFmtId="3" fontId="1" fillId="36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left" wrapText="1" indent="1"/>
    </xf>
    <xf numFmtId="3" fontId="3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28" fillId="0" borderId="0" xfId="0" applyNumberFormat="1" applyFont="1" applyFill="1" applyAlignment="1" applyProtection="1">
      <alignment horizontal="center" wrapText="1"/>
      <protection locked="0"/>
    </xf>
    <xf numFmtId="0" fontId="2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146" applyFont="1">
      <alignment/>
      <protection/>
    </xf>
    <xf numFmtId="0" fontId="0" fillId="0" borderId="0" xfId="146" applyFont="1" applyFill="1" applyBorder="1" applyAlignment="1">
      <alignment vertical="center"/>
      <protection/>
    </xf>
    <xf numFmtId="0" fontId="31" fillId="0" borderId="0" xfId="146" applyFont="1" applyFill="1" applyBorder="1" applyAlignment="1">
      <alignment vertical="center"/>
      <protection/>
    </xf>
    <xf numFmtId="0" fontId="19" fillId="0" borderId="0" xfId="146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3" fontId="5" fillId="0" borderId="10" xfId="146" applyNumberFormat="1" applyFont="1" applyFill="1" applyBorder="1" applyAlignment="1">
      <alignment horizontal="right" vertical="center" wrapText="1"/>
      <protection/>
    </xf>
    <xf numFmtId="3" fontId="1" fillId="0" borderId="10" xfId="146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146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146" applyNumberFormat="1" applyFont="1" applyFill="1" applyBorder="1" applyAlignment="1">
      <alignment horizontal="right" vertical="center" wrapText="1"/>
      <protection/>
    </xf>
    <xf numFmtId="3" fontId="10" fillId="0" borderId="10" xfId="146" applyNumberFormat="1" applyFont="1" applyFill="1" applyBorder="1" applyAlignment="1">
      <alignment horizontal="right" vertical="center" wrapText="1"/>
      <protection/>
    </xf>
    <xf numFmtId="3" fontId="10" fillId="0" borderId="10" xfId="146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146" applyNumberFormat="1" applyFont="1" applyFill="1" applyBorder="1" applyAlignment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146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>
      <alignment horizontal="right" vertical="center"/>
    </xf>
    <xf numFmtId="3" fontId="5" fillId="0" borderId="10" xfId="146" applyNumberFormat="1" applyFont="1" applyFill="1" applyBorder="1" applyAlignment="1">
      <alignment horizontal="left" vertical="center" wrapText="1" indent="1"/>
      <protection/>
    </xf>
    <xf numFmtId="3" fontId="1" fillId="0" borderId="10" xfId="146" applyNumberFormat="1" applyFont="1" applyFill="1" applyBorder="1" applyAlignment="1">
      <alignment horizontal="left" vertical="center" wrapText="1" indent="1"/>
      <protection/>
    </xf>
    <xf numFmtId="3" fontId="5" fillId="0" borderId="10" xfId="146" applyNumberFormat="1" applyFont="1" applyFill="1" applyBorder="1" applyAlignment="1">
      <alignment vertical="center" wrapText="1"/>
      <protection/>
    </xf>
    <xf numFmtId="3" fontId="5" fillId="0" borderId="10" xfId="146" applyNumberFormat="1" applyFont="1" applyBorder="1" applyAlignment="1">
      <alignment horizontal="left" vertical="center" indent="1"/>
      <protection/>
    </xf>
    <xf numFmtId="3" fontId="5" fillId="0" borderId="10" xfId="146" applyNumberFormat="1" applyFont="1" applyFill="1" applyBorder="1" applyAlignment="1">
      <alignment horizontal="right" vertical="center"/>
      <protection/>
    </xf>
    <xf numFmtId="3" fontId="5" fillId="34" borderId="10" xfId="146" applyNumberFormat="1" applyFont="1" applyFill="1" applyBorder="1" applyAlignment="1">
      <alignment horizontal="right" vertical="center"/>
      <protection/>
    </xf>
    <xf numFmtId="3" fontId="1" fillId="0" borderId="10" xfId="146" applyNumberFormat="1" applyFont="1" applyFill="1" applyBorder="1" applyAlignment="1" applyProtection="1">
      <alignment vertical="center" wrapText="1"/>
      <protection locked="0"/>
    </xf>
    <xf numFmtId="3" fontId="5" fillId="0" borderId="10" xfId="146" applyNumberFormat="1" applyFont="1" applyFill="1" applyBorder="1" applyAlignment="1" applyProtection="1">
      <alignment vertical="center" wrapText="1"/>
      <protection locked="0"/>
    </xf>
    <xf numFmtId="3" fontId="1" fillId="0" borderId="10" xfId="146" applyNumberFormat="1" applyFont="1" applyFill="1" applyBorder="1" applyAlignment="1">
      <alignment vertical="center" wrapText="1"/>
      <protection/>
    </xf>
    <xf numFmtId="3" fontId="5" fillId="0" borderId="10" xfId="146" applyNumberFormat="1" applyFont="1" applyFill="1" applyBorder="1" applyAlignment="1" applyProtection="1">
      <alignment horizontal="left" vertical="center" wrapText="1"/>
      <protection/>
    </xf>
    <xf numFmtId="3" fontId="1" fillId="0" borderId="10" xfId="146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5" fillId="0" borderId="10" xfId="0" applyNumberFormat="1" applyFont="1" applyFill="1" applyBorder="1" applyAlignment="1" quotePrefix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 quotePrefix="1">
      <alignment vertical="center"/>
    </xf>
    <xf numFmtId="0" fontId="5" fillId="0" borderId="0" xfId="0" applyFont="1" applyBorder="1" applyAlignment="1">
      <alignment wrapText="1"/>
    </xf>
    <xf numFmtId="3" fontId="1" fillId="0" borderId="0" xfId="0" applyNumberFormat="1" applyFont="1" applyFill="1" applyBorder="1" applyAlignment="1" quotePrefix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1" fillId="36" borderId="0" xfId="0" applyNumberFormat="1" applyFont="1" applyFill="1" applyBorder="1" applyAlignment="1">
      <alignment horizontal="right" wrapText="1"/>
    </xf>
    <xf numFmtId="0" fontId="1" fillId="0" borderId="0" xfId="146" applyFont="1" applyAlignment="1" quotePrefix="1">
      <alignment vertical="center"/>
      <protection/>
    </xf>
    <xf numFmtId="3" fontId="2" fillId="35" borderId="10" xfId="0" applyNumberFormat="1" applyFont="1" applyFill="1" applyBorder="1" applyAlignment="1">
      <alignment horizontal="center" vertical="center" wrapText="1"/>
    </xf>
    <xf numFmtId="9" fontId="5" fillId="0" borderId="10" xfId="152" applyNumberFormat="1" applyFont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3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vertical="top" wrapText="1"/>
    </xf>
    <xf numFmtId="3" fontId="5" fillId="0" borderId="0" xfId="147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horizontal="right" vertical="center"/>
    </xf>
    <xf numFmtId="1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3" fontId="5" fillId="0" borderId="14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49" fontId="1" fillId="0" borderId="10" xfId="147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Alignment="1">
      <alignment horizontal="justify"/>
    </xf>
    <xf numFmtId="0" fontId="5" fillId="35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27" fillId="0" borderId="0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top" wrapText="1"/>
    </xf>
    <xf numFmtId="172" fontId="0" fillId="0" borderId="0" xfId="0" applyNumberFormat="1" applyFont="1" applyFill="1" applyBorder="1" applyAlignment="1">
      <alignment/>
    </xf>
    <xf numFmtId="3" fontId="1" fillId="0" borderId="0" xfId="146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left" vertical="center"/>
      <protection/>
    </xf>
    <xf numFmtId="0" fontId="28" fillId="22" borderId="0" xfId="0" applyNumberFormat="1" applyFont="1" applyFill="1" applyAlignment="1" applyProtection="1">
      <alignment horizontal="center"/>
      <protection locked="0"/>
    </xf>
    <xf numFmtId="0" fontId="30" fillId="22" borderId="0" xfId="0" applyNumberFormat="1" applyFont="1" applyFill="1" applyAlignment="1" applyProtection="1">
      <alignment horizontal="center"/>
      <protection locked="0"/>
    </xf>
    <xf numFmtId="0" fontId="0" fillId="22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30" fillId="11" borderId="0" xfId="0" applyFont="1" applyFill="1" applyAlignment="1" applyProtection="1">
      <alignment horizontal="center"/>
      <protection locked="0"/>
    </xf>
    <xf numFmtId="0" fontId="28" fillId="22" borderId="18" xfId="0" applyFont="1" applyFill="1" applyBorder="1" applyAlignment="1">
      <alignment horizontal="center" vertical="center" wrapText="1"/>
    </xf>
    <xf numFmtId="0" fontId="28" fillId="11" borderId="18" xfId="0" applyFont="1" applyFill="1" applyBorder="1" applyAlignment="1">
      <alignment horizontal="center" vertical="center"/>
    </xf>
    <xf numFmtId="0" fontId="76" fillId="0" borderId="0" xfId="0" applyFont="1" applyAlignment="1">
      <alignment horizontal="justify"/>
    </xf>
    <xf numFmtId="0" fontId="5" fillId="0" borderId="10" xfId="0" applyFont="1" applyBorder="1" applyAlignment="1">
      <alignment horizontal="center" wrapText="1"/>
    </xf>
    <xf numFmtId="0" fontId="1" fillId="34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justify"/>
    </xf>
    <xf numFmtId="0" fontId="19" fillId="0" borderId="0" xfId="0" applyFont="1" applyFill="1" applyAlignment="1">
      <alignment horizontal="left"/>
    </xf>
    <xf numFmtId="0" fontId="27" fillId="0" borderId="0" xfId="0" applyFont="1" applyFill="1" applyBorder="1" applyAlignment="1">
      <alignment vertical="top" wrapText="1"/>
    </xf>
    <xf numFmtId="0" fontId="25" fillId="0" borderId="0" xfId="130" applyFont="1" applyBorder="1" applyAlignment="1" applyProtection="1" quotePrefix="1">
      <alignment vertical="top"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1" fillId="0" borderId="0" xfId="130" applyFont="1" applyBorder="1" applyAlignment="1" applyProtection="1" quotePrefix="1">
      <alignment vertical="top"/>
      <protection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center" vertical="center" wrapText="1"/>
    </xf>
    <xf numFmtId="0" fontId="9" fillId="0" borderId="0" xfId="146" applyFont="1" applyFill="1" applyBorder="1" applyAlignment="1">
      <alignment vertical="center"/>
      <protection/>
    </xf>
    <xf numFmtId="190" fontId="1" fillId="0" borderId="0" xfId="0" applyNumberFormat="1" applyFont="1" applyFill="1" applyAlignment="1">
      <alignment/>
    </xf>
    <xf numFmtId="0" fontId="1" fillId="0" borderId="0" xfId="140" applyFont="1" applyFill="1" applyBorder="1">
      <alignment/>
      <protection/>
    </xf>
    <xf numFmtId="3" fontId="10" fillId="0" borderId="10" xfId="146" applyNumberFormat="1" applyFont="1" applyFill="1" applyBorder="1" applyAlignment="1" applyProtection="1" quotePrefix="1">
      <alignment horizontal="right" vertical="center" wrapText="1"/>
      <protection locked="0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 vertical="center" wrapText="1"/>
    </xf>
    <xf numFmtId="3" fontId="1" fillId="37" borderId="10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 quotePrefix="1">
      <alignment vertical="top" wrapText="1"/>
    </xf>
    <xf numFmtId="4" fontId="1" fillId="0" borderId="10" xfId="0" applyNumberFormat="1" applyFont="1" applyFill="1" applyBorder="1" applyAlignment="1">
      <alignment/>
    </xf>
    <xf numFmtId="49" fontId="1" fillId="0" borderId="10" xfId="147" applyNumberFormat="1" applyFont="1" applyFill="1" applyBorder="1" applyAlignment="1" applyProtection="1">
      <alignment wrapText="1"/>
      <protection locked="0"/>
    </xf>
    <xf numFmtId="0" fontId="1" fillId="34" borderId="10" xfId="0" applyFont="1" applyFill="1" applyBorder="1" applyAlignment="1">
      <alignment vertical="center" wrapText="1"/>
    </xf>
    <xf numFmtId="10" fontId="1" fillId="0" borderId="10" xfId="0" applyNumberFormat="1" applyFont="1" applyFill="1" applyBorder="1" applyAlignment="1">
      <alignment/>
    </xf>
    <xf numFmtId="10" fontId="5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0" fontId="5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indent="1"/>
    </xf>
    <xf numFmtId="170" fontId="1" fillId="0" borderId="0" xfId="147" applyNumberFormat="1" applyFont="1" applyFill="1" applyBorder="1" applyAlignment="1" applyProtection="1">
      <alignment/>
      <protection locked="0"/>
    </xf>
    <xf numFmtId="174" fontId="1" fillId="0" borderId="0" xfId="147" applyNumberFormat="1" applyFont="1" applyFill="1" applyBorder="1" applyAlignment="1" applyProtection="1">
      <alignment wrapText="1"/>
      <protection locked="0"/>
    </xf>
    <xf numFmtId="3" fontId="1" fillId="0" borderId="0" xfId="147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top" wrapText="1"/>
    </xf>
    <xf numFmtId="3" fontId="1" fillId="37" borderId="10" xfId="0" applyNumberFormat="1" applyFont="1" applyFill="1" applyBorder="1" applyAlignment="1">
      <alignment vertical="center"/>
    </xf>
    <xf numFmtId="3" fontId="1" fillId="0" borderId="10" xfId="148" applyNumberFormat="1" applyFont="1" applyFill="1" applyBorder="1" applyAlignment="1" applyProtection="1">
      <alignment/>
      <protection locked="0"/>
    </xf>
    <xf numFmtId="0" fontId="10" fillId="0" borderId="0" xfId="140" applyFont="1" applyFill="1" applyBorder="1" applyAlignment="1">
      <alignment wrapText="1"/>
      <protection/>
    </xf>
    <xf numFmtId="0" fontId="3" fillId="0" borderId="10" xfId="140" applyFont="1" applyFill="1" applyBorder="1" applyAlignment="1">
      <alignment horizontal="left" vertical="center" wrapText="1"/>
      <protection/>
    </xf>
    <xf numFmtId="3" fontId="2" fillId="0" borderId="10" xfId="140" applyNumberFormat="1" applyFont="1" applyFill="1" applyBorder="1" applyAlignment="1">
      <alignment horizontal="right"/>
      <protection/>
    </xf>
    <xf numFmtId="0" fontId="2" fillId="0" borderId="10" xfId="140" applyFont="1" applyFill="1" applyBorder="1" applyAlignment="1">
      <alignment horizontal="left" vertical="center" wrapText="1"/>
      <protection/>
    </xf>
    <xf numFmtId="0" fontId="10" fillId="0" borderId="11" xfId="140" applyFont="1" applyFill="1" applyBorder="1" applyAlignment="1">
      <alignment wrapText="1"/>
      <protection/>
    </xf>
    <xf numFmtId="0" fontId="10" fillId="0" borderId="13" xfId="140" applyFont="1" applyFill="1" applyBorder="1" applyAlignment="1">
      <alignment wrapText="1"/>
      <protection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14" fontId="30" fillId="22" borderId="0" xfId="0" applyNumberFormat="1" applyFont="1" applyFill="1" applyAlignment="1" applyProtection="1">
      <alignment horizontal="center"/>
      <protection locked="0"/>
    </xf>
    <xf numFmtId="14" fontId="5" fillId="35" borderId="10" xfId="146" applyNumberFormat="1" applyFont="1" applyFill="1" applyBorder="1" applyAlignment="1">
      <alignment horizontal="center" vertical="center" wrapText="1"/>
      <protection/>
    </xf>
    <xf numFmtId="14" fontId="2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wrapText="1"/>
    </xf>
    <xf numFmtId="3" fontId="1" fillId="38" borderId="10" xfId="0" applyNumberFormat="1" applyFont="1" applyFill="1" applyBorder="1" applyAlignment="1">
      <alignment/>
    </xf>
    <xf numFmtId="14" fontId="5" fillId="35" borderId="10" xfId="0" applyNumberFormat="1" applyFont="1" applyFill="1" applyBorder="1" applyAlignment="1">
      <alignment horizontal="center" vertical="center" wrapText="1"/>
    </xf>
    <xf numFmtId="3" fontId="5" fillId="0" borderId="10" xfId="144" applyNumberFormat="1" applyFont="1" applyBorder="1" applyAlignment="1">
      <alignment horizontal="right" wrapText="1"/>
      <protection/>
    </xf>
    <xf numFmtId="0" fontId="2" fillId="35" borderId="10" xfId="144" applyFont="1" applyFill="1" applyBorder="1" applyAlignment="1">
      <alignment horizontal="center" wrapText="1"/>
      <protection/>
    </xf>
    <xf numFmtId="3" fontId="3" fillId="0" borderId="10" xfId="144" applyNumberFormat="1" applyFont="1" applyBorder="1" applyAlignment="1">
      <alignment horizontal="right" wrapText="1"/>
      <protection/>
    </xf>
    <xf numFmtId="3" fontId="1" fillId="0" borderId="10" xfId="42" applyNumberFormat="1" applyFont="1" applyBorder="1" applyAlignment="1">
      <alignment horizontal="right" wrapText="1"/>
    </xf>
    <xf numFmtId="3" fontId="5" fillId="0" borderId="14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 indent="1"/>
    </xf>
    <xf numFmtId="49" fontId="1" fillId="0" borderId="0" xfId="147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3" fontId="5" fillId="0" borderId="39" xfId="0" applyNumberFormat="1" applyFont="1" applyFill="1" applyBorder="1" applyAlignment="1">
      <alignment vertical="center"/>
    </xf>
    <xf numFmtId="14" fontId="1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3" fontId="5" fillId="0" borderId="0" xfId="146" applyNumberFormat="1" applyFont="1" applyAlignment="1">
      <alignment vertical="center"/>
      <protection/>
    </xf>
    <xf numFmtId="3" fontId="1" fillId="0" borderId="10" xfId="146" applyNumberFormat="1" applyFont="1" applyFill="1" applyBorder="1" applyAlignment="1" quotePrefix="1">
      <alignment horizontal="right" vertical="center" wrapText="1"/>
      <protection/>
    </xf>
    <xf numFmtId="0" fontId="2" fillId="35" borderId="10" xfId="143" applyFont="1" applyFill="1" applyBorder="1" applyAlignment="1">
      <alignment horizontal="center" vertical="center" wrapText="1"/>
      <protection/>
    </xf>
    <xf numFmtId="0" fontId="62" fillId="0" borderId="0" xfId="145">
      <alignment/>
      <protection/>
    </xf>
    <xf numFmtId="0" fontId="0" fillId="0" borderId="0" xfId="143">
      <alignment/>
      <protection/>
    </xf>
    <xf numFmtId="0" fontId="19" fillId="0" borderId="0" xfId="143" applyFont="1" applyFill="1" applyBorder="1" applyAlignment="1">
      <alignment horizontal="justify" wrapText="1"/>
      <protection/>
    </xf>
    <xf numFmtId="0" fontId="1" fillId="0" borderId="0" xfId="143" applyFont="1" applyFill="1" applyBorder="1" applyAlignment="1">
      <alignment vertical="center"/>
      <protection/>
    </xf>
    <xf numFmtId="0" fontId="1" fillId="0" borderId="0" xfId="143" applyFont="1" applyFill="1" applyBorder="1">
      <alignment/>
      <protection/>
    </xf>
    <xf numFmtId="0" fontId="2" fillId="34" borderId="10" xfId="143" applyFont="1" applyFill="1" applyBorder="1" applyAlignment="1">
      <alignment wrapText="1"/>
      <protection/>
    </xf>
    <xf numFmtId="0" fontId="1" fillId="0" borderId="10" xfId="143" applyFont="1" applyBorder="1">
      <alignment/>
      <protection/>
    </xf>
    <xf numFmtId="0" fontId="77" fillId="0" borderId="0" xfId="143" applyFont="1" applyFill="1">
      <alignment/>
      <protection/>
    </xf>
    <xf numFmtId="3" fontId="1" fillId="37" borderId="10" xfId="147" applyNumberFormat="1" applyFont="1" applyFill="1" applyBorder="1" applyAlignment="1" applyProtection="1">
      <alignment/>
      <protection locked="0"/>
    </xf>
    <xf numFmtId="10" fontId="1" fillId="37" borderId="10" xfId="147" applyNumberFormat="1" applyFont="1" applyFill="1" applyBorder="1" applyAlignment="1" applyProtection="1">
      <alignment/>
      <protection locked="0"/>
    </xf>
    <xf numFmtId="3" fontId="0" fillId="0" borderId="0" xfId="146" applyNumberFormat="1" applyFont="1" applyAlignment="1">
      <alignment vertical="center"/>
      <protection/>
    </xf>
    <xf numFmtId="3" fontId="1" fillId="0" borderId="10" xfId="141" applyNumberFormat="1" applyFont="1" applyBorder="1" applyAlignment="1">
      <alignment horizontal="right" vertical="center" wrapText="1"/>
      <protection/>
    </xf>
    <xf numFmtId="3" fontId="78" fillId="0" borderId="10" xfId="141" applyNumberFormat="1" applyFont="1" applyBorder="1">
      <alignment/>
      <protection/>
    </xf>
    <xf numFmtId="3" fontId="2" fillId="0" borderId="15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 wrapText="1"/>
    </xf>
    <xf numFmtId="3" fontId="3" fillId="0" borderId="15" xfId="0" applyNumberFormat="1" applyFont="1" applyBorder="1" applyAlignment="1">
      <alignment horizontal="right"/>
    </xf>
    <xf numFmtId="0" fontId="5" fillId="0" borderId="14" xfId="0" applyFont="1" applyBorder="1" applyAlignment="1" quotePrefix="1">
      <alignment horizontal="left" wrapText="1"/>
    </xf>
    <xf numFmtId="3" fontId="1" fillId="0" borderId="15" xfId="0" applyNumberFormat="1" applyFont="1" applyBorder="1" applyAlignment="1">
      <alignment horizontal="right"/>
    </xf>
    <xf numFmtId="0" fontId="1" fillId="0" borderId="14" xfId="0" applyFont="1" applyBorder="1" applyAlignment="1" quotePrefix="1">
      <alignment horizontal="left" wrapText="1"/>
    </xf>
    <xf numFmtId="3" fontId="2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10" fontId="2" fillId="0" borderId="10" xfId="0" applyNumberFormat="1" applyFont="1" applyBorder="1" applyAlignment="1">
      <alignment horizontal="right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1" fillId="37" borderId="0" xfId="146" applyFont="1" applyFill="1" applyAlignment="1">
      <alignment vertical="center"/>
      <protection/>
    </xf>
    <xf numFmtId="49" fontId="1" fillId="37" borderId="10" xfId="0" applyNumberFormat="1" applyFont="1" applyFill="1" applyBorder="1" applyAlignment="1">
      <alignment horizontal="left" indent="1"/>
    </xf>
    <xf numFmtId="10" fontId="1" fillId="0" borderId="0" xfId="146" applyNumberFormat="1" applyFont="1" applyAlignment="1">
      <alignment vertical="center"/>
      <protection/>
    </xf>
    <xf numFmtId="9" fontId="5" fillId="0" borderId="0" xfId="146" applyNumberFormat="1" applyFont="1" applyAlignment="1">
      <alignment vertical="center"/>
      <protection/>
    </xf>
    <xf numFmtId="4" fontId="1" fillId="0" borderId="0" xfId="146" applyNumberFormat="1" applyFont="1" applyAlignment="1">
      <alignment vertical="center"/>
      <protection/>
    </xf>
    <xf numFmtId="0" fontId="2" fillId="0" borderId="10" xfId="143" applyFont="1" applyBorder="1" applyAlignment="1">
      <alignment wrapText="1"/>
      <protection/>
    </xf>
    <xf numFmtId="14" fontId="2" fillId="0" borderId="10" xfId="143" applyNumberFormat="1" applyFont="1" applyBorder="1" applyAlignment="1">
      <alignment horizontal="center" wrapText="1"/>
      <protection/>
    </xf>
    <xf numFmtId="3" fontId="3" fillId="0" borderId="14" xfId="143" applyNumberFormat="1" applyFont="1" applyBorder="1" applyAlignment="1">
      <alignment horizontal="right" vertical="center" wrapText="1"/>
      <protection/>
    </xf>
    <xf numFmtId="0" fontId="1" fillId="0" borderId="0" xfId="143" applyFont="1">
      <alignment/>
      <protection/>
    </xf>
    <xf numFmtId="3" fontId="5" fillId="0" borderId="10" xfId="143" applyNumberFormat="1" applyFont="1" applyBorder="1">
      <alignment/>
      <protection/>
    </xf>
    <xf numFmtId="3" fontId="1" fillId="0" borderId="10" xfId="143" applyNumberFormat="1" applyFont="1" applyBorder="1">
      <alignment/>
      <protection/>
    </xf>
    <xf numFmtId="3" fontId="3" fillId="0" borderId="10" xfId="141" applyNumberFormat="1" applyFont="1" applyBorder="1" applyAlignment="1">
      <alignment horizontal="right" vertical="center" wrapText="1"/>
      <protection/>
    </xf>
    <xf numFmtId="0" fontId="1" fillId="34" borderId="10" xfId="143" applyFont="1" applyFill="1" applyBorder="1" applyAlignment="1">
      <alignment wrapText="1"/>
      <protection/>
    </xf>
    <xf numFmtId="1" fontId="3" fillId="0" borderId="10" xfId="143" applyNumberFormat="1" applyFont="1" applyBorder="1" applyAlignment="1">
      <alignment horizontal="right" vertical="center" wrapText="1"/>
      <protection/>
    </xf>
    <xf numFmtId="3" fontId="3" fillId="0" borderId="10" xfId="143" applyNumberFormat="1" applyFont="1" applyBorder="1" applyAlignment="1">
      <alignment horizontal="right" vertical="center" wrapText="1"/>
      <protection/>
    </xf>
    <xf numFmtId="0" fontId="1" fillId="37" borderId="10" xfId="0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3" fontId="0" fillId="0" borderId="0" xfId="146" applyNumberFormat="1" applyFont="1" applyBorder="1" applyAlignment="1">
      <alignment vertical="center"/>
      <protection/>
    </xf>
    <xf numFmtId="0" fontId="5" fillId="39" borderId="40" xfId="0" applyFont="1" applyFill="1" applyBorder="1" applyAlignment="1">
      <alignment horizontal="center" vertical="center"/>
    </xf>
    <xf numFmtId="14" fontId="79" fillId="39" borderId="27" xfId="0" applyNumberFormat="1" applyFont="1" applyFill="1" applyBorder="1" applyAlignment="1">
      <alignment horizontal="center" vertical="center" wrapText="1"/>
    </xf>
    <xf numFmtId="0" fontId="80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8" fontId="1" fillId="0" borderId="42" xfId="0" applyNumberFormat="1" applyFont="1" applyBorder="1" applyAlignment="1">
      <alignment horizontal="right" vertical="center"/>
    </xf>
    <xf numFmtId="10" fontId="1" fillId="0" borderId="42" xfId="0" applyNumberFormat="1" applyFont="1" applyBorder="1" applyAlignment="1">
      <alignment horizontal="right" vertical="center"/>
    </xf>
    <xf numFmtId="3" fontId="0" fillId="33" borderId="0" xfId="146" applyNumberFormat="1" applyFont="1" applyFill="1" applyAlignment="1">
      <alignment vertical="center"/>
      <protection/>
    </xf>
    <xf numFmtId="3" fontId="1" fillId="38" borderId="10" xfId="42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/>
    </xf>
    <xf numFmtId="3" fontId="1" fillId="0" borderId="0" xfId="146" applyNumberFormat="1" applyFont="1" applyAlignment="1">
      <alignment vertical="center"/>
      <protection/>
    </xf>
    <xf numFmtId="3" fontId="3" fillId="37" borderId="10" xfId="0" applyNumberFormat="1" applyFont="1" applyFill="1" applyBorder="1" applyAlignment="1">
      <alignment horizontal="right" wrapText="1"/>
    </xf>
    <xf numFmtId="3" fontId="3" fillId="37" borderId="10" xfId="144" applyNumberFormat="1" applyFont="1" applyFill="1" applyBorder="1" applyAlignment="1">
      <alignment horizontal="right" wrapText="1"/>
      <protection/>
    </xf>
    <xf numFmtId="3" fontId="1" fillId="37" borderId="10" xfId="42" applyNumberFormat="1" applyFont="1" applyFill="1" applyBorder="1" applyAlignment="1">
      <alignment horizontal="right" wrapText="1"/>
    </xf>
    <xf numFmtId="3" fontId="1" fillId="37" borderId="10" xfId="149" applyNumberFormat="1" applyFont="1" applyFill="1" applyBorder="1" applyAlignment="1" applyProtection="1">
      <alignment/>
      <protection locked="0"/>
    </xf>
    <xf numFmtId="3" fontId="1" fillId="37" borderId="10" xfId="0" applyNumberFormat="1" applyFont="1" applyFill="1" applyBorder="1" applyAlignment="1">
      <alignment horizontal="right" vertical="center" wrapText="1"/>
    </xf>
    <xf numFmtId="3" fontId="2" fillId="37" borderId="15" xfId="0" applyNumberFormat="1" applyFont="1" applyFill="1" applyBorder="1" applyAlignment="1">
      <alignment horizontal="right"/>
    </xf>
    <xf numFmtId="3" fontId="3" fillId="37" borderId="15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vertical="center"/>
    </xf>
    <xf numFmtId="10" fontId="3" fillId="37" borderId="1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3" fontId="1" fillId="0" borderId="10" xfId="142" applyNumberFormat="1" applyFont="1" applyBorder="1" applyAlignment="1">
      <alignment horizontal="right" vertical="center" wrapText="1"/>
      <protection/>
    </xf>
    <xf numFmtId="1" fontId="3" fillId="0" borderId="10" xfId="142" applyNumberFormat="1" applyFont="1" applyBorder="1" applyAlignment="1">
      <alignment horizontal="right" vertical="center" wrapText="1"/>
      <protection/>
    </xf>
    <xf numFmtId="3" fontId="3" fillId="0" borderId="10" xfId="142" applyNumberFormat="1" applyFont="1" applyBorder="1" applyAlignment="1">
      <alignment horizontal="right" vertical="center" wrapText="1"/>
      <protection/>
    </xf>
    <xf numFmtId="3" fontId="78" fillId="0" borderId="10" xfId="142" applyNumberFormat="1" applyFont="1" applyBorder="1">
      <alignment/>
      <protection/>
    </xf>
    <xf numFmtId="3" fontId="5" fillId="0" borderId="10" xfId="144" applyNumberFormat="1" applyFont="1" applyFill="1" applyBorder="1">
      <alignment/>
      <protection/>
    </xf>
    <xf numFmtId="0" fontId="1" fillId="0" borderId="10" xfId="142" applyFont="1" applyBorder="1">
      <alignment/>
      <protection/>
    </xf>
    <xf numFmtId="3" fontId="1" fillId="0" borderId="10" xfId="142" applyNumberFormat="1" applyFont="1" applyBorder="1">
      <alignment/>
      <protection/>
    </xf>
    <xf numFmtId="0" fontId="2" fillId="34" borderId="10" xfId="142" applyFont="1" applyFill="1" applyBorder="1" applyAlignment="1">
      <alignment wrapText="1"/>
      <protection/>
    </xf>
    <xf numFmtId="3" fontId="5" fillId="0" borderId="10" xfId="142" applyNumberFormat="1" applyFont="1" applyBorder="1">
      <alignment/>
      <protection/>
    </xf>
    <xf numFmtId="3" fontId="1" fillId="0" borderId="10" xfId="142" applyNumberFormat="1" applyFont="1" applyBorder="1" applyAlignment="1">
      <alignment horizontal="right"/>
      <protection/>
    </xf>
    <xf numFmtId="0" fontId="3" fillId="34" borderId="10" xfId="142" applyFont="1" applyFill="1" applyBorder="1" applyAlignment="1">
      <alignment wrapText="1"/>
      <protection/>
    </xf>
    <xf numFmtId="0" fontId="81" fillId="35" borderId="10" xfId="0" applyFont="1" applyFill="1" applyBorder="1" applyAlignment="1">
      <alignment horizontal="center" vertical="center" wrapText="1"/>
    </xf>
    <xf numFmtId="0" fontId="81" fillId="35" borderId="12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3" fontId="78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3" fontId="81" fillId="0" borderId="10" xfId="0" applyNumberFormat="1" applyFont="1" applyFill="1" applyBorder="1" applyAlignment="1">
      <alignment horizontal="right" vertical="center" wrapText="1"/>
    </xf>
    <xf numFmtId="0" fontId="5" fillId="40" borderId="40" xfId="0" applyFont="1" applyFill="1" applyBorder="1" applyAlignment="1">
      <alignment horizontal="center" vertical="center" wrapText="1"/>
    </xf>
    <xf numFmtId="0" fontId="79" fillId="40" borderId="40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25" fillId="0" borderId="0" xfId="130" applyFont="1" applyBorder="1" applyAlignment="1" applyProtection="1" quotePrefix="1">
      <alignment vertical="top"/>
      <protection/>
    </xf>
    <xf numFmtId="0" fontId="1" fillId="0" borderId="0" xfId="0" applyFont="1" applyAlignment="1">
      <alignment/>
    </xf>
    <xf numFmtId="0" fontId="5" fillId="0" borderId="18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146" applyFont="1" applyFill="1" applyBorder="1" applyAlignment="1">
      <alignment horizontal="left" vertical="center"/>
      <protection/>
    </xf>
    <xf numFmtId="0" fontId="5" fillId="0" borderId="13" xfId="146" applyFont="1" applyFill="1" applyBorder="1" applyAlignment="1">
      <alignment horizontal="left" vertical="center"/>
      <protection/>
    </xf>
    <xf numFmtId="0" fontId="5" fillId="0" borderId="15" xfId="146" applyFont="1" applyFill="1" applyBorder="1" applyAlignment="1">
      <alignment horizontal="left" vertical="center"/>
      <protection/>
    </xf>
    <xf numFmtId="3" fontId="5" fillId="0" borderId="11" xfId="146" applyNumberFormat="1" applyFont="1" applyFill="1" applyBorder="1" applyAlignment="1">
      <alignment horizontal="left" vertical="center"/>
      <protection/>
    </xf>
    <xf numFmtId="3" fontId="5" fillId="0" borderId="13" xfId="146" applyNumberFormat="1" applyFont="1" applyFill="1" applyBorder="1" applyAlignment="1">
      <alignment horizontal="left" vertical="center"/>
      <protection/>
    </xf>
    <xf numFmtId="3" fontId="5" fillId="0" borderId="15" xfId="146" applyNumberFormat="1" applyFont="1" applyFill="1" applyBorder="1" applyAlignment="1">
      <alignment horizontal="left" vertical="center"/>
      <protection/>
    </xf>
    <xf numFmtId="0" fontId="7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4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35" borderId="14" xfId="140" applyFont="1" applyFill="1" applyBorder="1" applyAlignment="1">
      <alignment horizontal="center" vertical="center" wrapText="1"/>
      <protection/>
    </xf>
    <xf numFmtId="0" fontId="5" fillId="35" borderId="12" xfId="140" applyFont="1" applyFill="1" applyBorder="1" applyAlignment="1">
      <alignment horizontal="center" vertical="center" wrapText="1"/>
      <protection/>
    </xf>
    <xf numFmtId="0" fontId="10" fillId="0" borderId="11" xfId="140" applyFont="1" applyFill="1" applyBorder="1" applyAlignment="1">
      <alignment horizontal="left" wrapText="1"/>
      <protection/>
    </xf>
    <xf numFmtId="0" fontId="10" fillId="0" borderId="13" xfId="140" applyFont="1" applyFill="1" applyBorder="1" applyAlignment="1">
      <alignment horizontal="left" wrapText="1"/>
      <protection/>
    </xf>
    <xf numFmtId="0" fontId="2" fillId="35" borderId="10" xfId="140" applyFont="1" applyFill="1" applyBorder="1" applyAlignment="1">
      <alignment horizontal="center" vertical="center"/>
      <protection/>
    </xf>
    <xf numFmtId="0" fontId="5" fillId="35" borderId="10" xfId="140" applyFont="1" applyFill="1" applyBorder="1" applyAlignment="1">
      <alignment horizontal="center" vertical="center"/>
      <protection/>
    </xf>
    <xf numFmtId="0" fontId="5" fillId="35" borderId="10" xfId="140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44" xfId="0" applyNumberFormat="1" applyFont="1" applyFill="1" applyBorder="1" applyAlignment="1">
      <alignment horizontal="left" vertical="center" wrapText="1"/>
    </xf>
    <xf numFmtId="49" fontId="10" fillId="0" borderId="45" xfId="0" applyNumberFormat="1" applyFont="1" applyFill="1" applyBorder="1" applyAlignment="1">
      <alignment horizontal="left" vertical="center" wrapText="1"/>
    </xf>
    <xf numFmtId="49" fontId="10" fillId="0" borderId="46" xfId="0" applyNumberFormat="1" applyFont="1" applyFill="1" applyBorder="1" applyAlignment="1">
      <alignment horizontal="left" vertical="center" wrapText="1"/>
    </xf>
    <xf numFmtId="14" fontId="5" fillId="35" borderId="11" xfId="147" applyNumberFormat="1" applyFont="1" applyFill="1" applyBorder="1" applyAlignment="1" applyProtection="1">
      <alignment horizontal="center" vertical="center" wrapText="1"/>
      <protection locked="0"/>
    </xf>
    <xf numFmtId="14" fontId="5" fillId="35" borderId="15" xfId="147" applyNumberFormat="1" applyFont="1" applyFill="1" applyBorder="1" applyAlignment="1" applyProtection="1">
      <alignment horizontal="center" vertical="center" wrapText="1"/>
      <protection locked="0"/>
    </xf>
    <xf numFmtId="0" fontId="5" fillId="40" borderId="14" xfId="0" applyFont="1" applyFill="1" applyBorder="1" applyAlignment="1">
      <alignment horizontal="center" vertical="center" wrapText="1"/>
    </xf>
    <xf numFmtId="0" fontId="5" fillId="40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2" fillId="35" borderId="11" xfId="143" applyFont="1" applyFill="1" applyBorder="1" applyAlignment="1">
      <alignment horizontal="center" vertical="center" wrapText="1"/>
      <protection/>
    </xf>
    <xf numFmtId="0" fontId="2" fillId="35" borderId="15" xfId="143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1" xfId="144" applyFont="1" applyBorder="1" applyAlignment="1">
      <alignment horizontal="left" vertical="center" wrapText="1"/>
      <protection/>
    </xf>
    <xf numFmtId="0" fontId="1" fillId="0" borderId="15" xfId="144" applyFont="1" applyBorder="1" applyAlignment="1">
      <alignment horizontal="left" vertical="center" wrapText="1"/>
      <protection/>
    </xf>
    <xf numFmtId="0" fontId="2" fillId="35" borderId="11" xfId="144" applyFont="1" applyFill="1" applyBorder="1" applyAlignment="1">
      <alignment horizontal="center" wrapText="1"/>
      <protection/>
    </xf>
    <xf numFmtId="0" fontId="2" fillId="35" borderId="15" xfId="144" applyFont="1" applyFill="1" applyBorder="1" applyAlignment="1">
      <alignment horizontal="center" wrapText="1"/>
      <protection/>
    </xf>
    <xf numFmtId="0" fontId="5" fillId="0" borderId="11" xfId="144" applyFont="1" applyBorder="1" applyAlignment="1">
      <alignment horizontal="left" vertical="center" wrapText="1"/>
      <protection/>
    </xf>
    <xf numFmtId="0" fontId="5" fillId="0" borderId="15" xfId="144" applyFont="1" applyBorder="1" applyAlignment="1">
      <alignment horizontal="left" vertical="center" wrapText="1"/>
      <protection/>
    </xf>
    <xf numFmtId="0" fontId="2" fillId="35" borderId="11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45" xfId="0" applyFont="1" applyBorder="1" applyAlignment="1">
      <alignment horizontal="justify" wrapText="1"/>
    </xf>
    <xf numFmtId="0" fontId="0" fillId="0" borderId="45" xfId="0" applyBorder="1" applyAlignment="1">
      <alignment horizontal="justify" wrapText="1"/>
    </xf>
    <xf numFmtId="0" fontId="80" fillId="0" borderId="47" xfId="0" applyFont="1" applyBorder="1" applyAlignment="1">
      <alignment horizontal="left" vertical="center" wrapText="1"/>
    </xf>
    <xf numFmtId="0" fontId="80" fillId="0" borderId="4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7" xfId="0" applyFont="1" applyBorder="1" applyAlignment="1">
      <alignment horizontal="justify" vertical="center" wrapText="1"/>
    </xf>
    <xf numFmtId="0" fontId="5" fillId="40" borderId="21" xfId="0" applyFont="1" applyFill="1" applyBorder="1" applyAlignment="1">
      <alignment horizontal="center" vertical="center" wrapText="1"/>
    </xf>
    <xf numFmtId="0" fontId="5" fillId="40" borderId="27" xfId="0" applyFont="1" applyFill="1" applyBorder="1" applyAlignment="1">
      <alignment horizontal="center" vertical="center" wrapText="1"/>
    </xf>
    <xf numFmtId="0" fontId="79" fillId="40" borderId="21" xfId="0" applyFont="1" applyFill="1" applyBorder="1" applyAlignment="1">
      <alignment horizontal="center" vertical="center" wrapText="1"/>
    </xf>
    <xf numFmtId="0" fontId="79" fillId="40" borderId="27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41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43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justify" vertical="center" wrapText="1"/>
    </xf>
    <xf numFmtId="10" fontId="1" fillId="0" borderId="21" xfId="0" applyNumberFormat="1" applyFont="1" applyBorder="1" applyAlignment="1">
      <alignment horizontal="justify" vertical="center" wrapText="1"/>
    </xf>
    <xf numFmtId="10" fontId="1" fillId="0" borderId="27" xfId="0" applyNumberFormat="1" applyFont="1" applyBorder="1" applyAlignment="1">
      <alignment horizontal="justify" vertical="center" wrapText="1"/>
    </xf>
  </cellXfs>
  <cellStyles count="1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2 2 2" xfId="48"/>
    <cellStyle name="Dziesiętny 2 2 2 2 3" xfId="49"/>
    <cellStyle name="Dziesiętny 2 2 2 3" xfId="50"/>
    <cellStyle name="Dziesiętny 2 2 2 3 2" xfId="51"/>
    <cellStyle name="Dziesiętny 2 2 2 3 3" xfId="52"/>
    <cellStyle name="Dziesiętny 2 2 2 4" xfId="53"/>
    <cellStyle name="Dziesiętny 2 2 2 5" xfId="54"/>
    <cellStyle name="Dziesiętny 2 2 3" xfId="55"/>
    <cellStyle name="Dziesiętny 2 2 3 2" xfId="56"/>
    <cellStyle name="Dziesiętny 2 2 3 2 2" xfId="57"/>
    <cellStyle name="Dziesiętny 2 2 3 2 3" xfId="58"/>
    <cellStyle name="Dziesiętny 2 2 3 3" xfId="59"/>
    <cellStyle name="Dziesiętny 2 2 3 4" xfId="60"/>
    <cellStyle name="Dziesiętny 2 2 4" xfId="61"/>
    <cellStyle name="Dziesiętny 2 2 4 2" xfId="62"/>
    <cellStyle name="Dziesiętny 2 2 4 3" xfId="63"/>
    <cellStyle name="Dziesiętny 2 2 5" xfId="64"/>
    <cellStyle name="Dziesiętny 2 2 5 2" xfId="65"/>
    <cellStyle name="Dziesiętny 2 2 5 3" xfId="66"/>
    <cellStyle name="Dziesiętny 2 2 6" xfId="67"/>
    <cellStyle name="Dziesiętny 2 2 7" xfId="68"/>
    <cellStyle name="Dziesiętny 2 3" xfId="69"/>
    <cellStyle name="Dziesiętny 2 3 2" xfId="70"/>
    <cellStyle name="Dziesiętny 2 3 2 2" xfId="71"/>
    <cellStyle name="Dziesiętny 2 3 2 3" xfId="72"/>
    <cellStyle name="Dziesiętny 2 3 3" xfId="73"/>
    <cellStyle name="Dziesiętny 2 3 3 2" xfId="74"/>
    <cellStyle name="Dziesiętny 2 3 3 3" xfId="75"/>
    <cellStyle name="Dziesiętny 2 3 4" xfId="76"/>
    <cellStyle name="Dziesiętny 2 3 5" xfId="77"/>
    <cellStyle name="Dziesiętny 2 4" xfId="78"/>
    <cellStyle name="Dziesiętny 2 4 2" xfId="79"/>
    <cellStyle name="Dziesiętny 2 4 2 2" xfId="80"/>
    <cellStyle name="Dziesiętny 2 4 2 3" xfId="81"/>
    <cellStyle name="Dziesiętny 2 4 3" xfId="82"/>
    <cellStyle name="Dziesiętny 2 4 3 2" xfId="83"/>
    <cellStyle name="Dziesiętny 2 4 3 3" xfId="84"/>
    <cellStyle name="Dziesiętny 2 4 4" xfId="85"/>
    <cellStyle name="Dziesiętny 2 4 5" xfId="86"/>
    <cellStyle name="Dziesiętny 2 5" xfId="87"/>
    <cellStyle name="Dziesiętny 2 5 2" xfId="88"/>
    <cellStyle name="Dziesiętny 2 5 2 2" xfId="89"/>
    <cellStyle name="Dziesiętny 2 5 2 3" xfId="90"/>
    <cellStyle name="Dziesiętny 2 5 3" xfId="91"/>
    <cellStyle name="Dziesiętny 2 5 4" xfId="92"/>
    <cellStyle name="Dziesiętny 2 6" xfId="93"/>
    <cellStyle name="Dziesiętny 2 6 2" xfId="94"/>
    <cellStyle name="Dziesiętny 2 6 3" xfId="95"/>
    <cellStyle name="Dziesiętny 2 7" xfId="96"/>
    <cellStyle name="Dziesiętny 2 8" xfId="97"/>
    <cellStyle name="Dziesiętny 3" xfId="98"/>
    <cellStyle name="Dziesiętny 3 2" xfId="99"/>
    <cellStyle name="Dziesiętny 3 2 2" xfId="100"/>
    <cellStyle name="Dziesiętny 3 2 2 2" xfId="101"/>
    <cellStyle name="Dziesiętny 3 2 2 3" xfId="102"/>
    <cellStyle name="Dziesiętny 3 2 3" xfId="103"/>
    <cellStyle name="Dziesiętny 3 2 4" xfId="104"/>
    <cellStyle name="Dziesiętny 3 3" xfId="105"/>
    <cellStyle name="Dziesiętny 3 3 2" xfId="106"/>
    <cellStyle name="Dziesiętny 3 3 3" xfId="107"/>
    <cellStyle name="Dziesiętny 3 4" xfId="108"/>
    <cellStyle name="Dziesiętny 3 5" xfId="109"/>
    <cellStyle name="Dziesiętny 4" xfId="110"/>
    <cellStyle name="Dziesiętny 4 2" xfId="111"/>
    <cellStyle name="Dziesiętny 4 2 2" xfId="112"/>
    <cellStyle name="Dziesiętny 4 2 3" xfId="113"/>
    <cellStyle name="Dziesiętny 4 3" xfId="114"/>
    <cellStyle name="Dziesiętny 4 3 2" xfId="115"/>
    <cellStyle name="Dziesiętny 4 3 3" xfId="116"/>
    <cellStyle name="Dziesiętny 4 4" xfId="117"/>
    <cellStyle name="Dziesiętny 4 5" xfId="118"/>
    <cellStyle name="Dziesiętny 5" xfId="119"/>
    <cellStyle name="Dziesiętny 5 2" xfId="120"/>
    <cellStyle name="Dziesiętny 5 3" xfId="121"/>
    <cellStyle name="Dziesiętny 6" xfId="122"/>
    <cellStyle name="Dziesiętny 6 2" xfId="123"/>
    <cellStyle name="Dziesiętny 6 3" xfId="124"/>
    <cellStyle name="Dziesiętny 7" xfId="125"/>
    <cellStyle name="Dziesiętny 7 2" xfId="126"/>
    <cellStyle name="Dziesiętny 7 3" xfId="127"/>
    <cellStyle name="Dziesiętny 8" xfId="128"/>
    <cellStyle name="Dziesiętny 9" xfId="129"/>
    <cellStyle name="Hyperlink" xfId="130"/>
    <cellStyle name="Hiperłącze 2" xfId="131"/>
    <cellStyle name="Komórka połączona" xfId="132"/>
    <cellStyle name="Komórka zaznaczona" xfId="133"/>
    <cellStyle name="Nagłówek 1" xfId="134"/>
    <cellStyle name="Nagłówek 2" xfId="135"/>
    <cellStyle name="Nagłówek 3" xfId="136"/>
    <cellStyle name="Nagłówek 4" xfId="137"/>
    <cellStyle name="Neutralny" xfId="138"/>
    <cellStyle name="Normal_Nota Nr 1" xfId="139"/>
    <cellStyle name="Normalny 2" xfId="140"/>
    <cellStyle name="Normalny 2 2" xfId="141"/>
    <cellStyle name="Normalny 2 2 2" xfId="142"/>
    <cellStyle name="Normalny 2 3" xfId="143"/>
    <cellStyle name="Normalny 3" xfId="144"/>
    <cellStyle name="Normalny 4" xfId="145"/>
    <cellStyle name="Normalny_bilans_przekształceń" xfId="146"/>
    <cellStyle name="Normalny_Pakiet informacyjny 2.2" xfId="147"/>
    <cellStyle name="Normalny_Pakiet informacyjny 2.2 2" xfId="148"/>
    <cellStyle name="Normalny_Pakiet informacyjny 2.2 2 2" xfId="149"/>
    <cellStyle name="Obliczenia" xfId="150"/>
    <cellStyle name="Followed Hyperlink" xfId="151"/>
    <cellStyle name="Percent" xfId="152"/>
    <cellStyle name="Procentowy 2" xfId="153"/>
    <cellStyle name="Procentowy 2 2" xfId="154"/>
    <cellStyle name="Procentowy 3" xfId="155"/>
    <cellStyle name="Suma" xfId="156"/>
    <cellStyle name="Tekst objaśnienia" xfId="157"/>
    <cellStyle name="Tekst ostrzeżenia" xfId="158"/>
    <cellStyle name="Tytuł" xfId="159"/>
    <cellStyle name="Uwaga" xfId="160"/>
    <cellStyle name="Currency" xfId="161"/>
    <cellStyle name="Currency [0]" xfId="162"/>
    <cellStyle name="Zły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.pkfconsult.pl/Documents%20and%20Settings/Rafal/Ustawienia%20lokalne/Temporary%20Internet%20Files/OLK19/ZAT%20Pakiet%20konsolidacyjny%2006%202006%202007%2011%2008%20N18B%20do%20uzupeni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.pkfconsult.pl/Documents%20and%20Settings\rbarycki\Ustawienia%20lokalne\Temporary%20Internet%20Files\Content.Outlook\NZDZ161T\HL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B"/>
      <sheetName val="N11A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>
        <row r="96">
          <cell r="BB96" t="str">
            <v>PLN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Wykaz jednostek"/>
      <sheetName val="SF"/>
      <sheetName val="ZZwK GK"/>
      <sheetName val="ZZwK Sp"/>
      <sheetName val="ZZwK 2"/>
      <sheetName val="N01A"/>
      <sheetName val="N01B"/>
      <sheetName val="N02"/>
      <sheetName val="N03"/>
      <sheetName val="N04"/>
      <sheetName val="N05"/>
      <sheetName val="N06A"/>
      <sheetName val="N06B"/>
      <sheetName val="N07"/>
      <sheetName val="N08"/>
      <sheetName val="N09"/>
      <sheetName val="N10"/>
      <sheetName val="N11A"/>
      <sheetName val="N11B"/>
      <sheetName val="N11C"/>
      <sheetName val="N11D"/>
      <sheetName val="N12"/>
      <sheetName val="N13"/>
      <sheetName val="N14"/>
      <sheetName val="N15"/>
      <sheetName val="N16"/>
      <sheetName val="N17"/>
      <sheetName val="N18A"/>
      <sheetName val="N18B"/>
      <sheetName val="N19"/>
      <sheetName val="N20"/>
      <sheetName val="N21"/>
      <sheetName val="N22"/>
      <sheetName val="N23"/>
      <sheetName val="WK"/>
      <sheetName val="Wybrane dane"/>
      <sheetName val="1 Należności"/>
      <sheetName val="2 Zobowiązania"/>
      <sheetName val="3 Pożyczki udzielone"/>
      <sheetName val="4 Zob finansowe"/>
      <sheetName val="5 Sprzedaż"/>
      <sheetName val="6 Zakup"/>
      <sheetName val="7 Dz finansowa"/>
      <sheetName val="8 ŚT sprzedający"/>
      <sheetName val="9 ŚT kupujący"/>
      <sheetName val="10 Wykaz AF"/>
      <sheetName val="11 Kapitał"/>
      <sheetName val="12 Warunkowe"/>
    </sheetNames>
    <sheetDataSet>
      <sheetData sheetId="0">
        <row r="62">
          <cell r="BB62" t="str">
            <v> na dzień 01.01.2006 roku</v>
          </cell>
        </row>
        <row r="68">
          <cell r="BB68" t="str">
            <v> na dzień 01.01.2005 roku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1" displayName="Tabela1" ref="A35:D41" comment="" totalsRowShown="0">
  <tableColumns count="4">
    <tableColumn id="1" name="Rok"/>
    <tableColumn id="2" name="Wysokość straty podatkowej"/>
    <tableColumn id="3" name="Wysokość straty podatkowej od której nie utworzono aktywa"/>
    <tableColumn id="4" name="Data wygaśnięcia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view="pageBreakPreview" zoomScale="90" zoomScaleNormal="75" zoomScaleSheetLayoutView="90" zoomScalePageLayoutView="0" workbookViewId="0" topLeftCell="A1">
      <selection activeCell="B22" sqref="B22"/>
    </sheetView>
  </sheetViews>
  <sheetFormatPr defaultColWidth="9.28125" defaultRowHeight="12.75"/>
  <cols>
    <col min="1" max="1" width="51.28125" style="17" customWidth="1"/>
    <col min="2" max="2" width="38.421875" style="18" customWidth="1"/>
    <col min="3" max="3" width="33.28125" style="18" customWidth="1"/>
    <col min="4" max="4" width="9.28125" style="16" customWidth="1"/>
    <col min="5" max="5" width="0" style="16" hidden="1" customWidth="1"/>
    <col min="6" max="16384" width="9.28125" style="16" customWidth="1"/>
  </cols>
  <sheetData>
    <row r="1" spans="1:3" s="19" customFormat="1" ht="26.25" thickBot="1">
      <c r="A1" s="390"/>
      <c r="B1" s="495" t="s">
        <v>189</v>
      </c>
      <c r="C1" s="496" t="s">
        <v>190</v>
      </c>
    </row>
    <row r="2" spans="1:3" ht="27.75" customHeight="1">
      <c r="A2" s="391" t="s">
        <v>191</v>
      </c>
      <c r="B2" s="490" t="s">
        <v>654</v>
      </c>
      <c r="C2" s="493" t="s">
        <v>192</v>
      </c>
    </row>
    <row r="3" spans="1:3" ht="15">
      <c r="A3" s="392"/>
      <c r="B3" s="393"/>
      <c r="C3" s="394"/>
    </row>
    <row r="4" spans="1:3" ht="29.25" customHeight="1">
      <c r="A4" s="391" t="s">
        <v>193</v>
      </c>
      <c r="B4" s="490" t="s">
        <v>519</v>
      </c>
      <c r="C4" s="493" t="s">
        <v>433</v>
      </c>
    </row>
    <row r="5" spans="1:3" ht="15">
      <c r="A5" s="395"/>
      <c r="B5" s="396"/>
      <c r="C5" s="394"/>
    </row>
    <row r="6" spans="1:3" ht="15.75" customHeight="1">
      <c r="A6" s="391" t="s">
        <v>73</v>
      </c>
      <c r="B6" s="397"/>
      <c r="C6" s="394"/>
    </row>
    <row r="7" spans="1:3" ht="13.5" customHeight="1">
      <c r="A7" s="395" t="s">
        <v>101</v>
      </c>
      <c r="B7" s="584" t="s">
        <v>881</v>
      </c>
      <c r="C7" s="493" t="s">
        <v>74</v>
      </c>
    </row>
    <row r="8" spans="1:3" ht="13.5" customHeight="1">
      <c r="A8" s="395" t="s">
        <v>194</v>
      </c>
      <c r="B8" s="584">
        <v>44562</v>
      </c>
      <c r="C8" s="493" t="s">
        <v>74</v>
      </c>
    </row>
    <row r="9" spans="1:3" ht="15">
      <c r="A9" s="395" t="s">
        <v>195</v>
      </c>
      <c r="B9" s="584">
        <v>44926</v>
      </c>
      <c r="C9" s="493" t="s">
        <v>75</v>
      </c>
    </row>
    <row r="10" spans="1:3" ht="15">
      <c r="A10" s="395"/>
      <c r="B10" s="398"/>
      <c r="C10" s="394"/>
    </row>
    <row r="11" spans="1:3" ht="15">
      <c r="A11" s="403" t="s">
        <v>76</v>
      </c>
      <c r="B11" s="398"/>
      <c r="C11" s="394"/>
    </row>
    <row r="12" spans="1:3" ht="15">
      <c r="A12" s="395" t="s">
        <v>101</v>
      </c>
      <c r="B12" s="491" t="s">
        <v>789</v>
      </c>
      <c r="C12" s="493" t="s">
        <v>77</v>
      </c>
    </row>
    <row r="13" spans="1:3" ht="15">
      <c r="A13" s="395" t="s">
        <v>194</v>
      </c>
      <c r="B13" s="584">
        <v>44197</v>
      </c>
      <c r="C13" s="493" t="s">
        <v>78</v>
      </c>
    </row>
    <row r="14" spans="1:3" ht="15">
      <c r="A14" s="395" t="s">
        <v>195</v>
      </c>
      <c r="B14" s="584">
        <v>44561</v>
      </c>
      <c r="C14" s="493" t="s">
        <v>79</v>
      </c>
    </row>
    <row r="15" spans="1:3" ht="15">
      <c r="A15" s="395"/>
      <c r="B15" s="398"/>
      <c r="C15" s="394"/>
    </row>
    <row r="16" spans="1:5" ht="15">
      <c r="A16" s="395" t="s">
        <v>201</v>
      </c>
      <c r="B16" s="492" t="s">
        <v>574</v>
      </c>
      <c r="C16" s="494" t="s">
        <v>227</v>
      </c>
      <c r="E16" s="16">
        <f>IF(C16="nie",0,IF(C16="tak",1,2))</f>
        <v>2</v>
      </c>
    </row>
  </sheetData>
  <sheetProtection/>
  <printOptions/>
  <pageMargins left="0.75" right="0.75" top="1" bottom="1" header="0.5" footer="0.5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showGridLines="0" view="pageBreakPreview" zoomScale="90" zoomScaleSheetLayoutView="90" workbookViewId="0" topLeftCell="A1">
      <selection activeCell="A23" sqref="A23:C27"/>
    </sheetView>
  </sheetViews>
  <sheetFormatPr defaultColWidth="9.28125" defaultRowHeight="12.75"/>
  <cols>
    <col min="1" max="1" width="50.7109375" style="52" customWidth="1"/>
    <col min="2" max="3" width="13.7109375" style="52" customWidth="1"/>
    <col min="4" max="16384" width="9.28125" style="52" customWidth="1"/>
  </cols>
  <sheetData>
    <row r="1" ht="12.75">
      <c r="A1" s="75"/>
    </row>
    <row r="2" spans="1:4" s="481" customFormat="1" ht="12.75">
      <c r="A2" s="266" t="s">
        <v>493</v>
      </c>
      <c r="B2" s="478"/>
      <c r="C2" s="478"/>
      <c r="D2" s="478"/>
    </row>
    <row r="3" spans="1:4" ht="12.75">
      <c r="A3" s="53"/>
      <c r="B3" s="3"/>
      <c r="C3" s="3"/>
      <c r="D3" s="3"/>
    </row>
    <row r="4" spans="1:4" ht="22.5">
      <c r="A4" s="150" t="s">
        <v>520</v>
      </c>
      <c r="B4" s="150" t="str">
        <f>'Dane podstawowe'!$B$7</f>
        <v>01.01.2022 - 31.12.2022</v>
      </c>
      <c r="C4" s="150" t="str">
        <f>'Dane podstawowe'!$B$12</f>
        <v>01.01.2021 - 31.12.2021</v>
      </c>
      <c r="D4" s="47"/>
    </row>
    <row r="5" spans="1:4" ht="12.75">
      <c r="A5" s="76" t="s">
        <v>342</v>
      </c>
      <c r="B5" s="387">
        <f>RZiS!E8</f>
        <v>782842</v>
      </c>
      <c r="C5" s="387">
        <f>RZiS!F8</f>
        <v>856101</v>
      </c>
      <c r="D5" s="62"/>
    </row>
    <row r="6" spans="1:4" ht="12.75">
      <c r="A6" s="76" t="s">
        <v>343</v>
      </c>
      <c r="B6" s="387">
        <f>RZiS!E9</f>
        <v>140481</v>
      </c>
      <c r="C6" s="387">
        <f>RZiS!F9</f>
        <v>121644</v>
      </c>
      <c r="D6" s="62"/>
    </row>
    <row r="7" spans="1:4" ht="12.75">
      <c r="A7" s="76" t="s">
        <v>344</v>
      </c>
      <c r="B7" s="387">
        <f>RZiS!E10</f>
        <v>10555202</v>
      </c>
      <c r="C7" s="387">
        <f>RZiS!F10</f>
        <v>8267687</v>
      </c>
      <c r="D7" s="62"/>
    </row>
    <row r="8" spans="1:4" ht="12.75">
      <c r="A8" s="76" t="s">
        <v>345</v>
      </c>
      <c r="B8" s="387">
        <f>RZiS!E11</f>
        <v>56773</v>
      </c>
      <c r="C8" s="387">
        <f>RZiS!F11</f>
        <v>74868</v>
      </c>
      <c r="D8" s="62"/>
    </row>
    <row r="9" spans="1:4" ht="12.75">
      <c r="A9" s="76" t="s">
        <v>277</v>
      </c>
      <c r="B9" s="387">
        <f>RZiS!E12</f>
        <v>5483534</v>
      </c>
      <c r="C9" s="387">
        <f>RZiS!F12</f>
        <v>5089741</v>
      </c>
      <c r="D9" s="62"/>
    </row>
    <row r="10" spans="1:4" ht="12.75">
      <c r="A10" s="76" t="s">
        <v>278</v>
      </c>
      <c r="B10" s="387">
        <f>RZiS!E13</f>
        <v>974158</v>
      </c>
      <c r="C10" s="387">
        <f>RZiS!F13</f>
        <v>842667</v>
      </c>
      <c r="D10" s="62"/>
    </row>
    <row r="11" spans="1:4" ht="12.75">
      <c r="A11" s="76" t="s">
        <v>346</v>
      </c>
      <c r="B11" s="387">
        <f>RZiS!E14</f>
        <v>390268</v>
      </c>
      <c r="C11" s="387">
        <f>RZiS!F14</f>
        <v>716897</v>
      </c>
      <c r="D11" s="62"/>
    </row>
    <row r="12" spans="1:4" ht="12.75" hidden="1">
      <c r="A12" s="76" t="s">
        <v>279</v>
      </c>
      <c r="B12" s="196"/>
      <c r="C12" s="196"/>
      <c r="D12" s="62"/>
    </row>
    <row r="13" spans="1:4" ht="12.75">
      <c r="A13" s="77" t="s">
        <v>600</v>
      </c>
      <c r="B13" s="114">
        <f>SUM(B5:B12)</f>
        <v>18383258</v>
      </c>
      <c r="C13" s="114">
        <f>SUM(C5:C12)</f>
        <v>15969605</v>
      </c>
      <c r="D13" s="62"/>
    </row>
    <row r="14" spans="1:4" ht="12.75" hidden="1">
      <c r="A14" s="65" t="s">
        <v>348</v>
      </c>
      <c r="B14" s="197"/>
      <c r="C14" s="196"/>
      <c r="D14" s="62"/>
    </row>
    <row r="15" spans="1:4" ht="22.5" hidden="1">
      <c r="A15" s="65" t="s">
        <v>280</v>
      </c>
      <c r="B15" s="197"/>
      <c r="C15" s="196"/>
      <c r="D15" s="62"/>
    </row>
    <row r="16" spans="1:4" ht="12.75" hidden="1">
      <c r="A16" s="65" t="s">
        <v>281</v>
      </c>
      <c r="B16" s="198"/>
      <c r="C16" s="196"/>
      <c r="D16" s="62"/>
    </row>
    <row r="17" spans="1:4" ht="12.75" hidden="1">
      <c r="A17" s="65" t="s">
        <v>282</v>
      </c>
      <c r="B17" s="197"/>
      <c r="C17" s="112"/>
      <c r="D17" s="62"/>
    </row>
    <row r="18" spans="1:4" ht="12.75" hidden="1">
      <c r="A18" s="83" t="s">
        <v>244</v>
      </c>
      <c r="B18" s="199">
        <f>SUM(B13:B17)</f>
        <v>18383258</v>
      </c>
      <c r="C18" s="199">
        <f>SUM(C13:C17)</f>
        <v>15969605</v>
      </c>
      <c r="D18" s="62"/>
    </row>
    <row r="19" spans="1:4" ht="12.75" hidden="1">
      <c r="A19" s="79"/>
      <c r="B19" s="370">
        <f>RZiS!E7-'NOTA 3 - Koszty rodzajowe'!B18</f>
        <v>0</v>
      </c>
      <c r="C19" s="370">
        <f>RZiS!F7-'NOTA 3 - Koszty rodzajowe'!C18</f>
        <v>0</v>
      </c>
      <c r="D19" s="3"/>
    </row>
    <row r="20" spans="1:4" ht="12.75">
      <c r="A20" s="3"/>
      <c r="B20" s="438">
        <f>RZiS!E7-'NOTA 3 - Koszty rodzajowe'!B13</f>
        <v>0</v>
      </c>
      <c r="C20" s="438">
        <f>RZiS!F7-'NOTA 3 - Koszty rodzajowe'!C13</f>
        <v>0</v>
      </c>
      <c r="D20" s="3"/>
    </row>
    <row r="21" spans="1:4" ht="12.75">
      <c r="A21" s="53" t="s">
        <v>435</v>
      </c>
      <c r="B21" s="3"/>
      <c r="C21" s="3"/>
      <c r="D21" s="3"/>
    </row>
    <row r="22" spans="1:4" ht="12.75">
      <c r="A22" s="53"/>
      <c r="B22" s="3"/>
      <c r="C22" s="3"/>
      <c r="D22" s="3"/>
    </row>
    <row r="23" spans="1:4" ht="22.5">
      <c r="A23" s="150" t="s">
        <v>601</v>
      </c>
      <c r="B23" s="150" t="str">
        <f>'Dane podstawowe'!$B$7</f>
        <v>01.01.2022 - 31.12.2022</v>
      </c>
      <c r="C23" s="150" t="str">
        <f>'Dane podstawowe'!$B$12</f>
        <v>01.01.2021 - 31.12.2021</v>
      </c>
      <c r="D23" s="47"/>
    </row>
    <row r="24" spans="1:4" ht="12.75">
      <c r="A24" s="81" t="s">
        <v>349</v>
      </c>
      <c r="B24" s="200">
        <v>167201</v>
      </c>
      <c r="C24" s="200">
        <v>136504</v>
      </c>
      <c r="D24" s="62"/>
    </row>
    <row r="25" spans="1:4" ht="12.75">
      <c r="A25" s="81" t="s">
        <v>350</v>
      </c>
      <c r="B25" s="200">
        <v>216406</v>
      </c>
      <c r="C25" s="200">
        <v>302895</v>
      </c>
      <c r="D25" s="62"/>
    </row>
    <row r="26" spans="1:4" ht="12.75">
      <c r="A26" s="84" t="s">
        <v>674</v>
      </c>
      <c r="B26" s="200">
        <v>399235</v>
      </c>
      <c r="C26" s="200">
        <v>416702</v>
      </c>
      <c r="D26" s="62"/>
    </row>
    <row r="27" spans="1:4" ht="12.75">
      <c r="A27" s="91" t="s">
        <v>339</v>
      </c>
      <c r="B27" s="111">
        <f>SUM(B24:B26)</f>
        <v>782842</v>
      </c>
      <c r="C27" s="111">
        <f>SUM(C24:C26)</f>
        <v>856101</v>
      </c>
      <c r="D27" s="3"/>
    </row>
    <row r="28" spans="1:4" ht="12.75">
      <c r="A28" s="79"/>
      <c r="B28" s="438">
        <f>B27-B5</f>
        <v>0</v>
      </c>
      <c r="C28" s="438">
        <f>C27-C5</f>
        <v>0</v>
      </c>
      <c r="D28" s="3"/>
    </row>
    <row r="29" spans="1:4" ht="12.75">
      <c r="A29" s="79"/>
      <c r="B29" s="79"/>
      <c r="C29" s="79"/>
      <c r="D29" s="3"/>
    </row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view="pageBreakPreview" zoomScale="90" zoomScaleSheetLayoutView="90" zoomScalePageLayoutView="0" workbookViewId="0" topLeftCell="A1">
      <selection activeCell="A14" sqref="A14:C25"/>
    </sheetView>
  </sheetViews>
  <sheetFormatPr defaultColWidth="9.28125" defaultRowHeight="12.75"/>
  <cols>
    <col min="1" max="1" width="45.57421875" style="52" customWidth="1"/>
    <col min="2" max="3" width="17.00390625" style="52" customWidth="1"/>
    <col min="4" max="16384" width="9.28125" style="52" customWidth="1"/>
  </cols>
  <sheetData>
    <row r="1" s="85" customFormat="1" ht="18" customHeight="1">
      <c r="A1" s="57"/>
    </row>
    <row r="2" s="468" customFormat="1" ht="12.75">
      <c r="A2" s="266" t="s">
        <v>494</v>
      </c>
    </row>
    <row r="3" s="3" customFormat="1" ht="11.25">
      <c r="A3" s="53"/>
    </row>
    <row r="4" spans="1:3" s="47" customFormat="1" ht="24" customHeight="1">
      <c r="A4" s="184" t="s">
        <v>284</v>
      </c>
      <c r="B4" s="150" t="str">
        <f>'Dane podstawowe'!$B$7</f>
        <v>01.01.2022 - 31.12.2022</v>
      </c>
      <c r="C4" s="150" t="str">
        <f>'Dane podstawowe'!$B$12</f>
        <v>01.01.2021 - 31.12.2021</v>
      </c>
    </row>
    <row r="5" spans="1:3" s="3" customFormat="1" ht="22.5">
      <c r="A5" s="65" t="s">
        <v>925</v>
      </c>
      <c r="B5" s="193">
        <v>738620</v>
      </c>
      <c r="C5" s="193">
        <v>0</v>
      </c>
    </row>
    <row r="6" spans="1:3" s="3" customFormat="1" ht="11.25">
      <c r="A6" s="65" t="s">
        <v>675</v>
      </c>
      <c r="B6" s="193">
        <v>16369</v>
      </c>
      <c r="C6" s="193">
        <v>8546</v>
      </c>
    </row>
    <row r="7" spans="1:3" s="3" customFormat="1" ht="9" customHeight="1">
      <c r="A7" s="90" t="s">
        <v>575</v>
      </c>
      <c r="B7" s="193">
        <v>10103</v>
      </c>
      <c r="C7" s="193">
        <f>5661+51</f>
        <v>5712</v>
      </c>
    </row>
    <row r="8" spans="1:3" s="3" customFormat="1" ht="11.25" hidden="1">
      <c r="A8" s="65" t="s">
        <v>283</v>
      </c>
      <c r="B8" s="193">
        <v>0</v>
      </c>
      <c r="C8" s="193">
        <v>0</v>
      </c>
    </row>
    <row r="9" spans="1:3" s="3" customFormat="1" ht="11.25">
      <c r="A9" s="65" t="s">
        <v>826</v>
      </c>
      <c r="B9" s="193">
        <v>0</v>
      </c>
      <c r="C9" s="193">
        <v>42587</v>
      </c>
    </row>
    <row r="10" spans="1:8" s="3" customFormat="1" ht="11.25">
      <c r="A10" s="65" t="s">
        <v>65</v>
      </c>
      <c r="B10" s="193">
        <v>7502</v>
      </c>
      <c r="C10" s="193">
        <v>11332</v>
      </c>
      <c r="H10" s="62"/>
    </row>
    <row r="11" spans="1:8" s="72" customFormat="1" ht="11.25">
      <c r="A11" s="89" t="s">
        <v>339</v>
      </c>
      <c r="B11" s="111">
        <f>SUM(B5:B10)</f>
        <v>772594</v>
      </c>
      <c r="C11" s="111">
        <f>SUM(C5:C10)</f>
        <v>68177</v>
      </c>
      <c r="G11" s="62"/>
      <c r="H11" s="62"/>
    </row>
    <row r="12" spans="1:3" s="3" customFormat="1" ht="11.25">
      <c r="A12" s="87"/>
      <c r="B12" s="371">
        <f>RZiS!E16-'NOTA 4 - PPO i PKO'!B11</f>
        <v>0</v>
      </c>
      <c r="C12" s="371">
        <f>RZiS!F16-'NOTA 4 - PPO i PKO'!C11</f>
        <v>0</v>
      </c>
    </row>
    <row r="13" spans="1:3" s="3" customFormat="1" ht="11.25">
      <c r="A13" s="88"/>
      <c r="B13" s="372"/>
      <c r="C13" s="372"/>
    </row>
    <row r="14" spans="1:3" s="3" customFormat="1" ht="20.25" customHeight="1">
      <c r="A14" s="184" t="s">
        <v>285</v>
      </c>
      <c r="B14" s="150" t="str">
        <f>'Dane podstawowe'!$B$7</f>
        <v>01.01.2022 - 31.12.2022</v>
      </c>
      <c r="C14" s="150" t="str">
        <f>'Dane podstawowe'!$B$12</f>
        <v>01.01.2021 - 31.12.2021</v>
      </c>
    </row>
    <row r="15" spans="1:3" s="3" customFormat="1" ht="11.25">
      <c r="A15" s="65" t="s">
        <v>922</v>
      </c>
      <c r="B15" s="193">
        <v>25508</v>
      </c>
      <c r="C15" s="193">
        <v>0</v>
      </c>
    </row>
    <row r="16" spans="1:3" s="3" customFormat="1" ht="11.25">
      <c r="A16" s="70" t="s">
        <v>924</v>
      </c>
      <c r="B16" s="193">
        <v>16449</v>
      </c>
      <c r="C16" s="193">
        <v>1000</v>
      </c>
    </row>
    <row r="17" spans="1:3" s="3" customFormat="1" ht="11.25">
      <c r="A17" s="70" t="s">
        <v>675</v>
      </c>
      <c r="B17" s="193">
        <v>16369</v>
      </c>
      <c r="C17" s="193">
        <v>8546</v>
      </c>
    </row>
    <row r="18" spans="1:3" s="3" customFormat="1" ht="11.25">
      <c r="A18" s="65" t="s">
        <v>706</v>
      </c>
      <c r="B18" s="193">
        <v>0</v>
      </c>
      <c r="C18" s="193">
        <v>12123</v>
      </c>
    </row>
    <row r="19" spans="1:3" s="3" customFormat="1" ht="11.25">
      <c r="A19" s="65" t="s">
        <v>698</v>
      </c>
      <c r="B19" s="193">
        <v>0</v>
      </c>
      <c r="C19" s="193">
        <v>21245</v>
      </c>
    </row>
    <row r="20" spans="1:3" s="3" customFormat="1" ht="11.25">
      <c r="A20" s="65" t="s">
        <v>923</v>
      </c>
      <c r="B20" s="193">
        <v>851</v>
      </c>
      <c r="C20" s="193">
        <v>0</v>
      </c>
    </row>
    <row r="21" spans="1:3" s="3" customFormat="1" ht="11.25" hidden="1">
      <c r="A21" s="70" t="s">
        <v>699</v>
      </c>
      <c r="B21" s="193">
        <v>0</v>
      </c>
      <c r="C21" s="193">
        <v>0</v>
      </c>
    </row>
    <row r="22" spans="1:3" s="3" customFormat="1" ht="11.25" hidden="1">
      <c r="A22" s="70" t="s">
        <v>707</v>
      </c>
      <c r="B22" s="193">
        <v>0</v>
      </c>
      <c r="C22" s="193">
        <v>0</v>
      </c>
    </row>
    <row r="23" spans="1:3" s="3" customFormat="1" ht="11.25">
      <c r="A23" s="70" t="s">
        <v>722</v>
      </c>
      <c r="B23" s="193">
        <v>0</v>
      </c>
      <c r="C23" s="193">
        <v>161</v>
      </c>
    </row>
    <row r="24" spans="1:3" s="3" customFormat="1" ht="11.25">
      <c r="A24" s="65" t="s">
        <v>65</v>
      </c>
      <c r="B24" s="193">
        <v>14685</v>
      </c>
      <c r="C24" s="193">
        <v>18484</v>
      </c>
    </row>
    <row r="25" spans="1:3" s="72" customFormat="1" ht="11.25">
      <c r="A25" s="91" t="s">
        <v>339</v>
      </c>
      <c r="B25" s="111">
        <f>SUM(B15:B24)</f>
        <v>73862</v>
      </c>
      <c r="C25" s="111">
        <f>SUM(C15:C24)</f>
        <v>61559</v>
      </c>
    </row>
    <row r="26" spans="1:3" s="72" customFormat="1" ht="11.25">
      <c r="A26" s="14"/>
      <c r="B26" s="371">
        <f>RZiS!E17-'NOTA 4 - PPO i PKO'!B25</f>
        <v>0</v>
      </c>
      <c r="C26" s="371">
        <f>RZiS!F17-'NOTA 4 - PPO i PKO'!C25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showGridLines="0" view="pageBreakPreview" zoomScale="90" zoomScaleSheetLayoutView="90" zoomScalePageLayoutView="0" workbookViewId="0" topLeftCell="A1">
      <selection activeCell="A12" sqref="A12:C19"/>
    </sheetView>
  </sheetViews>
  <sheetFormatPr defaultColWidth="9.28125" defaultRowHeight="12.75"/>
  <cols>
    <col min="1" max="1" width="45.7109375" style="52" customWidth="1"/>
    <col min="2" max="9" width="14.28125" style="52" customWidth="1"/>
    <col min="10" max="16384" width="9.28125" style="52" customWidth="1"/>
  </cols>
  <sheetData>
    <row r="1" ht="19.5" customHeight="1">
      <c r="A1" s="75"/>
    </row>
    <row r="2" spans="1:3" s="266" customFormat="1" ht="12.75">
      <c r="A2" s="266" t="s">
        <v>495</v>
      </c>
      <c r="B2" s="467"/>
      <c r="C2" s="467"/>
    </row>
    <row r="3" spans="1:3" ht="12.75">
      <c r="A3" s="94"/>
      <c r="B3" s="3"/>
      <c r="C3" s="3"/>
    </row>
    <row r="4" spans="1:3" ht="22.5">
      <c r="A4" s="177" t="s">
        <v>329</v>
      </c>
      <c r="B4" s="150" t="str">
        <f>'Dane podstawowe'!$B$7</f>
        <v>01.01.2022 - 31.12.2022</v>
      </c>
      <c r="C4" s="150" t="str">
        <f>'Dane podstawowe'!$B$12</f>
        <v>01.01.2021 - 31.12.2021</v>
      </c>
    </row>
    <row r="5" spans="1:3" ht="12.75">
      <c r="A5" s="65" t="s">
        <v>286</v>
      </c>
      <c r="B5" s="193">
        <v>3634932</v>
      </c>
      <c r="C5" s="193">
        <v>811891</v>
      </c>
    </row>
    <row r="6" spans="1:3" ht="12.75">
      <c r="A6" s="65" t="s">
        <v>215</v>
      </c>
      <c r="B6" s="544">
        <v>33492</v>
      </c>
      <c r="C6" s="544">
        <v>36830</v>
      </c>
    </row>
    <row r="7" spans="1:3" ht="12.75" hidden="1">
      <c r="A7" s="70" t="s">
        <v>710</v>
      </c>
      <c r="B7" s="193">
        <v>0</v>
      </c>
      <c r="C7" s="193">
        <v>0</v>
      </c>
    </row>
    <row r="8" spans="1:3" ht="12.75">
      <c r="A8" s="76" t="s">
        <v>65</v>
      </c>
      <c r="B8" s="193">
        <v>8306</v>
      </c>
      <c r="C8" s="193">
        <v>300</v>
      </c>
    </row>
    <row r="9" spans="1:3" ht="12.75">
      <c r="A9" s="77" t="s">
        <v>339</v>
      </c>
      <c r="B9" s="111">
        <f>SUM(B5:B8)</f>
        <v>3676730</v>
      </c>
      <c r="C9" s="111">
        <f>SUM(C5:C8)</f>
        <v>849021</v>
      </c>
    </row>
    <row r="10" spans="1:3" ht="12.75">
      <c r="A10" s="79"/>
      <c r="B10" s="370">
        <f>RZiS!E19-'NOTA 5 - PF i KF'!B9</f>
        <v>0</v>
      </c>
      <c r="C10" s="370">
        <f>RZiS!F19-'NOTA 5 - PF i KF'!C9</f>
        <v>0</v>
      </c>
    </row>
    <row r="11" spans="1:3" ht="12.75">
      <c r="A11" s="72"/>
      <c r="B11" s="3"/>
      <c r="C11" s="3"/>
    </row>
    <row r="12" spans="1:3" ht="22.5">
      <c r="A12" s="96" t="s">
        <v>63</v>
      </c>
      <c r="B12" s="205" t="str">
        <f>'Dane podstawowe'!$B$7</f>
        <v>01.01.2022 - 31.12.2022</v>
      </c>
      <c r="C12" s="150" t="str">
        <f>'Dane podstawowe'!$B$12</f>
        <v>01.01.2021 - 31.12.2021</v>
      </c>
    </row>
    <row r="13" spans="1:3" ht="12.75">
      <c r="A13" s="65" t="s">
        <v>287</v>
      </c>
      <c r="B13" s="193">
        <v>120377</v>
      </c>
      <c r="C13" s="193">
        <v>50791</v>
      </c>
    </row>
    <row r="14" spans="1:3" ht="12.75">
      <c r="A14" s="65" t="s">
        <v>711</v>
      </c>
      <c r="B14" s="193">
        <v>15125</v>
      </c>
      <c r="C14" s="193">
        <v>16671</v>
      </c>
    </row>
    <row r="15" spans="1:3" ht="12.75" hidden="1">
      <c r="A15" s="70" t="s">
        <v>565</v>
      </c>
      <c r="B15" s="193"/>
      <c r="C15" s="193"/>
    </row>
    <row r="16" spans="1:3" ht="12.75">
      <c r="A16" s="70" t="s">
        <v>662</v>
      </c>
      <c r="B16" s="193">
        <v>49233</v>
      </c>
      <c r="C16" s="193">
        <f>35139-16671</f>
        <v>18468</v>
      </c>
    </row>
    <row r="17" spans="1:3" ht="12.75">
      <c r="A17" s="70" t="s">
        <v>710</v>
      </c>
      <c r="B17" s="193">
        <v>353</v>
      </c>
      <c r="C17" s="193">
        <v>7755</v>
      </c>
    </row>
    <row r="18" spans="1:3" ht="12.75" hidden="1">
      <c r="A18" s="95" t="s">
        <v>65</v>
      </c>
      <c r="B18" s="193">
        <v>0</v>
      </c>
      <c r="C18" s="193">
        <v>0</v>
      </c>
    </row>
    <row r="19" spans="1:3" ht="12.75">
      <c r="A19" s="77" t="s">
        <v>339</v>
      </c>
      <c r="B19" s="194">
        <f>SUM(B13:B18)</f>
        <v>185088</v>
      </c>
      <c r="C19" s="194">
        <f>SUM(C13:C18)</f>
        <v>93685</v>
      </c>
    </row>
    <row r="20" spans="2:3" ht="12.75">
      <c r="B20" s="370">
        <f>RZiS!E20-'NOTA 5 - PF i KF'!B19</f>
        <v>0</v>
      </c>
      <c r="C20" s="370">
        <f>RZiS!F20-'NOTA 5 - PF i KF'!C19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1"/>
  <sheetViews>
    <sheetView showGridLines="0" view="pageBreakPreview" zoomScale="96" zoomScaleSheetLayoutView="96" zoomScalePageLayoutView="0" workbookViewId="0" topLeftCell="A1">
      <selection activeCell="G41" sqref="G41"/>
    </sheetView>
  </sheetViews>
  <sheetFormatPr defaultColWidth="9.28125" defaultRowHeight="12.75"/>
  <cols>
    <col min="1" max="1" width="54.28125" style="52" customWidth="1"/>
    <col min="2" max="2" width="15.421875" style="52" customWidth="1"/>
    <col min="3" max="3" width="15.7109375" style="52" customWidth="1"/>
    <col min="4" max="4" width="11.7109375" style="52" customWidth="1"/>
    <col min="5" max="6" width="10.57421875" style="52" customWidth="1"/>
    <col min="7" max="16384" width="9.28125" style="52" customWidth="1"/>
  </cols>
  <sheetData>
    <row r="1" ht="19.5" customHeight="1">
      <c r="A1" s="75"/>
    </row>
    <row r="2" spans="1:6" s="58" customFormat="1" ht="12.75">
      <c r="A2" s="266" t="s">
        <v>496</v>
      </c>
      <c r="B2" s="468"/>
      <c r="C2" s="468"/>
      <c r="D2" s="468"/>
      <c r="E2" s="468"/>
      <c r="F2" s="468"/>
    </row>
    <row r="3" spans="1:6" ht="12.75">
      <c r="A3" s="53"/>
      <c r="B3" s="3"/>
      <c r="C3" s="3"/>
      <c r="D3" s="3"/>
      <c r="E3" s="3"/>
      <c r="F3" s="3"/>
    </row>
    <row r="4" spans="1:6" ht="22.5">
      <c r="A4" s="150" t="s">
        <v>434</v>
      </c>
      <c r="B4" s="150" t="str">
        <f>'Dane podstawowe'!$B$7</f>
        <v>01.01.2022 - 31.12.2022</v>
      </c>
      <c r="C4" s="150" t="str">
        <f>'Dane podstawowe'!$B$12</f>
        <v>01.01.2021 - 31.12.2021</v>
      </c>
      <c r="D4" s="62"/>
      <c r="E4" s="62"/>
      <c r="F4" s="62"/>
    </row>
    <row r="5" spans="1:6" ht="12.75">
      <c r="A5" s="77" t="s">
        <v>351</v>
      </c>
      <c r="B5" s="109">
        <f>SUM(B6:B7)</f>
        <v>0</v>
      </c>
      <c r="C5" s="109">
        <f>SUM(C6:C7)</f>
        <v>0</v>
      </c>
      <c r="D5" s="62"/>
      <c r="E5" s="62"/>
      <c r="F5" s="62"/>
    </row>
    <row r="6" spans="1:6" ht="12.75">
      <c r="A6" s="76" t="s">
        <v>385</v>
      </c>
      <c r="B6" s="262">
        <v>0</v>
      </c>
      <c r="C6" s="262">
        <v>0</v>
      </c>
      <c r="D6" s="62"/>
      <c r="E6" s="62"/>
      <c r="F6" s="62"/>
    </row>
    <row r="7" spans="1:6" ht="12.75">
      <c r="A7" s="76" t="s">
        <v>386</v>
      </c>
      <c r="B7" s="110">
        <v>0</v>
      </c>
      <c r="C7" s="110">
        <v>0</v>
      </c>
      <c r="D7" s="62"/>
      <c r="E7" s="62"/>
      <c r="F7" s="62"/>
    </row>
    <row r="8" spans="1:6" ht="12.75">
      <c r="A8" s="77" t="s">
        <v>352</v>
      </c>
      <c r="B8" s="109">
        <f>SUM(B9:B10)</f>
        <v>-111227</v>
      </c>
      <c r="C8" s="109">
        <f>SUM(C9:C10)</f>
        <v>-25438</v>
      </c>
      <c r="D8" s="62"/>
      <c r="E8" s="62"/>
      <c r="F8" s="62"/>
    </row>
    <row r="9" spans="1:6" ht="12.75" hidden="1">
      <c r="A9" s="76" t="s">
        <v>353</v>
      </c>
      <c r="B9" s="110">
        <v>-111227</v>
      </c>
      <c r="C9" s="110">
        <v>-25438</v>
      </c>
      <c r="D9" s="62"/>
      <c r="E9" s="62"/>
      <c r="F9" s="62"/>
    </row>
    <row r="10" spans="1:6" ht="12.75" hidden="1">
      <c r="A10" s="76" t="s">
        <v>309</v>
      </c>
      <c r="B10" s="110">
        <v>0</v>
      </c>
      <c r="C10" s="110">
        <v>0</v>
      </c>
      <c r="D10" s="62"/>
      <c r="E10" s="62"/>
      <c r="F10" s="62"/>
    </row>
    <row r="11" spans="1:6" ht="12.75">
      <c r="A11" s="77" t="s">
        <v>181</v>
      </c>
      <c r="B11" s="111">
        <f>SUM(B5,B8)</f>
        <v>-111227</v>
      </c>
      <c r="C11" s="111">
        <f>SUM(C5,C8)</f>
        <v>-25438</v>
      </c>
      <c r="D11" s="62"/>
      <c r="E11" s="62"/>
      <c r="F11" s="62"/>
    </row>
    <row r="12" spans="1:6" s="98" customFormat="1" ht="12.75">
      <c r="A12" s="14"/>
      <c r="B12" s="370">
        <f>RZiS!E23-'NOTA 6 - Podatek '!B11</f>
        <v>0</v>
      </c>
      <c r="C12" s="370">
        <f>RZiS!F23-'NOTA 6 - Podatek '!C11</f>
        <v>0</v>
      </c>
      <c r="D12" s="3"/>
      <c r="E12" s="3"/>
      <c r="F12" s="3"/>
    </row>
    <row r="13" spans="1:6" s="98" customFormat="1" ht="12.75">
      <c r="A13" s="14"/>
      <c r="B13" s="93"/>
      <c r="C13" s="93"/>
      <c r="D13" s="3"/>
      <c r="E13" s="3"/>
      <c r="F13" s="3"/>
    </row>
    <row r="14" spans="1:6" ht="22.5" hidden="1">
      <c r="A14" s="150" t="s">
        <v>372</v>
      </c>
      <c r="B14" s="150" t="str">
        <f>'Dane podstawowe'!$B$7</f>
        <v>01.01.2022 - 31.12.2022</v>
      </c>
      <c r="C14" s="150" t="str">
        <f>'Dane podstawowe'!$B$12</f>
        <v>01.01.2021 - 31.12.2021</v>
      </c>
      <c r="D14" s="3"/>
      <c r="E14" s="3"/>
      <c r="F14" s="3"/>
    </row>
    <row r="15" spans="1:6" ht="12.75" hidden="1">
      <c r="A15" s="77" t="s">
        <v>351</v>
      </c>
      <c r="B15" s="254">
        <f>SUM(B16:B16)</f>
        <v>0</v>
      </c>
      <c r="C15" s="254">
        <f>SUM(C16:C16)</f>
        <v>0</v>
      </c>
      <c r="D15" s="62"/>
      <c r="E15" s="62"/>
      <c r="F15" s="62"/>
    </row>
    <row r="16" spans="1:6" ht="12.75" hidden="1">
      <c r="A16" s="76" t="s">
        <v>354</v>
      </c>
      <c r="B16" s="112"/>
      <c r="C16" s="112"/>
      <c r="D16" s="62"/>
      <c r="E16" s="62"/>
      <c r="F16" s="62"/>
    </row>
    <row r="17" spans="1:6" ht="12.75" hidden="1">
      <c r="A17" s="77" t="s">
        <v>352</v>
      </c>
      <c r="B17" s="199">
        <f>SUM(B18:B21)</f>
        <v>0</v>
      </c>
      <c r="C17" s="199">
        <f>SUM(C18:C21)</f>
        <v>0</v>
      </c>
      <c r="D17" s="62"/>
      <c r="E17" s="62"/>
      <c r="F17" s="62"/>
    </row>
    <row r="18" spans="1:6" ht="22.5" hidden="1">
      <c r="A18" s="86" t="s">
        <v>355</v>
      </c>
      <c r="B18" s="115"/>
      <c r="C18" s="115"/>
      <c r="D18" s="62"/>
      <c r="E18" s="62"/>
      <c r="F18" s="62"/>
    </row>
    <row r="19" spans="1:6" ht="22.5" hidden="1">
      <c r="A19" s="86" t="s">
        <v>356</v>
      </c>
      <c r="B19" s="115"/>
      <c r="C19" s="115"/>
      <c r="D19" s="252"/>
      <c r="E19" s="252"/>
      <c r="F19" s="252"/>
    </row>
    <row r="20" spans="1:6" ht="22.5" hidden="1">
      <c r="A20" s="86" t="s">
        <v>357</v>
      </c>
      <c r="B20" s="115"/>
      <c r="C20" s="115"/>
      <c r="D20" s="252"/>
      <c r="E20" s="252"/>
      <c r="F20" s="252"/>
    </row>
    <row r="21" spans="1:6" ht="22.5" hidden="1">
      <c r="A21" s="130" t="s">
        <v>322</v>
      </c>
      <c r="B21" s="115"/>
      <c r="C21" s="115"/>
      <c r="D21" s="252"/>
      <c r="E21" s="252"/>
      <c r="F21" s="252"/>
    </row>
    <row r="22" spans="1:6" ht="22.5" hidden="1">
      <c r="A22" s="80" t="s">
        <v>387</v>
      </c>
      <c r="B22" s="108">
        <f>SUM(B15,B17)</f>
        <v>0</v>
      </c>
      <c r="C22" s="108">
        <f>SUM(C15,C17)</f>
        <v>0</v>
      </c>
      <c r="D22" s="252"/>
      <c r="E22" s="252"/>
      <c r="F22" s="252"/>
    </row>
    <row r="23" spans="1:6" ht="12.75">
      <c r="A23" s="99"/>
      <c r="B23" s="100"/>
      <c r="C23" s="100"/>
      <c r="D23" s="12"/>
      <c r="E23" s="12"/>
      <c r="F23" s="12"/>
    </row>
    <row r="24" spans="1:6" ht="12.75">
      <c r="A24" s="99"/>
      <c r="B24" s="100"/>
      <c r="C24" s="100"/>
      <c r="D24" s="12"/>
      <c r="E24" s="12"/>
      <c r="F24" s="12"/>
    </row>
    <row r="25" spans="1:6" ht="22.5">
      <c r="A25" s="96" t="s">
        <v>351</v>
      </c>
      <c r="B25" s="150" t="str">
        <f>'Dane podstawowe'!$B$7</f>
        <v>01.01.2022 - 31.12.2022</v>
      </c>
      <c r="C25" s="150" t="str">
        <f>'Dane podstawowe'!$B$12</f>
        <v>01.01.2021 - 31.12.2021</v>
      </c>
      <c r="D25" s="12"/>
      <c r="E25" s="12"/>
      <c r="F25" s="12"/>
    </row>
    <row r="26" spans="1:6" s="101" customFormat="1" ht="12.75">
      <c r="A26" s="71" t="s">
        <v>288</v>
      </c>
      <c r="B26" s="64">
        <f>RZiS!E22</f>
        <v>2019456</v>
      </c>
      <c r="C26" s="64">
        <f>RZiS!F22</f>
        <v>-1385306</v>
      </c>
      <c r="D26" s="12"/>
      <c r="E26" s="12"/>
      <c r="F26" s="12"/>
    </row>
    <row r="27" spans="1:6" ht="12.75">
      <c r="A27" s="71" t="s">
        <v>729</v>
      </c>
      <c r="B27" s="64">
        <v>-111227</v>
      </c>
      <c r="C27" s="64">
        <v>-25438</v>
      </c>
      <c r="D27" s="12"/>
      <c r="E27" s="12"/>
      <c r="F27" s="12"/>
    </row>
    <row r="28" spans="1:6" ht="12.75">
      <c r="A28" s="70" t="s">
        <v>725</v>
      </c>
      <c r="B28" s="117">
        <f>0.19*B26</f>
        <v>383696.64</v>
      </c>
      <c r="C28" s="117">
        <f>0.19*C26</f>
        <v>-263208.14</v>
      </c>
      <c r="D28" s="12"/>
      <c r="E28" s="12"/>
      <c r="F28" s="12"/>
    </row>
    <row r="29" spans="1:6" ht="12.75">
      <c r="A29" s="71" t="s">
        <v>730</v>
      </c>
      <c r="B29" s="64">
        <f>B27-B28</f>
        <v>-494923.64</v>
      </c>
      <c r="C29" s="64">
        <f>C27-C28</f>
        <v>237770.14</v>
      </c>
      <c r="D29" s="12"/>
      <c r="E29" s="12"/>
      <c r="F29" s="12"/>
    </row>
    <row r="30" spans="1:6" ht="22.5">
      <c r="A30" s="70" t="s">
        <v>726</v>
      </c>
      <c r="B30" s="117">
        <v>-723175</v>
      </c>
      <c r="C30" s="117">
        <v>-144971</v>
      </c>
      <c r="D30" s="12"/>
      <c r="E30" s="12"/>
      <c r="F30" s="12"/>
    </row>
    <row r="31" spans="1:6" ht="22.5">
      <c r="A31" s="70" t="s">
        <v>727</v>
      </c>
      <c r="B31" s="117">
        <v>69349</v>
      </c>
      <c r="C31" s="117">
        <v>15481</v>
      </c>
      <c r="D31" s="12"/>
      <c r="E31" s="12"/>
      <c r="F31" s="12"/>
    </row>
    <row r="32" spans="1:6" ht="12.75">
      <c r="A32" s="70" t="s">
        <v>846</v>
      </c>
      <c r="B32" s="117">
        <v>158902</v>
      </c>
      <c r="C32" s="117">
        <v>367260</v>
      </c>
      <c r="D32" s="12"/>
      <c r="E32" s="12"/>
      <c r="F32" s="12"/>
    </row>
    <row r="33" spans="1:6" ht="22.5">
      <c r="A33" s="70" t="s">
        <v>728</v>
      </c>
      <c r="B33" s="117">
        <v>0</v>
      </c>
      <c r="C33" s="117">
        <v>0</v>
      </c>
      <c r="D33" s="12"/>
      <c r="E33" s="12"/>
      <c r="F33" s="12"/>
    </row>
    <row r="34" spans="1:6" ht="12.75">
      <c r="A34" s="102"/>
      <c r="B34" s="103"/>
      <c r="C34" s="103"/>
      <c r="D34" s="12"/>
      <c r="E34" s="12"/>
      <c r="F34" s="12"/>
    </row>
    <row r="35" spans="1:6" ht="45">
      <c r="A35" s="696" t="s">
        <v>938</v>
      </c>
      <c r="B35" s="696" t="s">
        <v>939</v>
      </c>
      <c r="C35" s="696" t="s">
        <v>940</v>
      </c>
      <c r="D35" s="697" t="s">
        <v>941</v>
      </c>
      <c r="E35" s="12"/>
      <c r="F35" s="12"/>
    </row>
    <row r="36" spans="1:6" ht="12.75">
      <c r="A36" s="698">
        <v>2018</v>
      </c>
      <c r="B36" s="699">
        <v>2094695</v>
      </c>
      <c r="C36" s="699">
        <f>B36</f>
        <v>2094695</v>
      </c>
      <c r="D36" s="698">
        <v>2023</v>
      </c>
      <c r="E36" s="12"/>
      <c r="F36" s="12"/>
    </row>
    <row r="37" spans="1:6" ht="12.75">
      <c r="A37" s="698">
        <v>2019</v>
      </c>
      <c r="B37" s="699">
        <v>1081604</v>
      </c>
      <c r="C37" s="699">
        <f>B37</f>
        <v>1081604</v>
      </c>
      <c r="D37" s="698">
        <v>2024</v>
      </c>
      <c r="E37" s="12"/>
      <c r="F37" s="12"/>
    </row>
    <row r="38" spans="1:6" ht="12.75">
      <c r="A38" s="698">
        <v>2020</v>
      </c>
      <c r="B38" s="699">
        <v>215174</v>
      </c>
      <c r="C38" s="699">
        <f>B38</f>
        <v>215174</v>
      </c>
      <c r="D38" s="698">
        <v>2025</v>
      </c>
      <c r="E38" s="12"/>
      <c r="F38" s="12"/>
    </row>
    <row r="39" spans="1:6" ht="12.75">
      <c r="A39" s="698">
        <v>2021</v>
      </c>
      <c r="B39" s="699">
        <v>1932949</v>
      </c>
      <c r="C39" s="699">
        <f>B39</f>
        <v>1932949</v>
      </c>
      <c r="D39" s="698">
        <v>2026</v>
      </c>
      <c r="E39" s="12"/>
      <c r="F39" s="12"/>
    </row>
    <row r="40" spans="1:6" ht="12.75">
      <c r="A40" s="700">
        <v>2022</v>
      </c>
      <c r="B40" s="699">
        <v>2032733</v>
      </c>
      <c r="C40" s="699">
        <f>B40-191000-720529</f>
        <v>1121204</v>
      </c>
      <c r="D40" s="698">
        <v>2027</v>
      </c>
      <c r="E40" s="12"/>
      <c r="F40" s="12"/>
    </row>
    <row r="41" spans="1:6" ht="12.75">
      <c r="A41" s="701" t="s">
        <v>339</v>
      </c>
      <c r="B41" s="702">
        <f>B36+B37+B38+B39+B40</f>
        <v>7357155</v>
      </c>
      <c r="C41" s="702">
        <f>C36+C37+C38+C39+C40</f>
        <v>6445626</v>
      </c>
      <c r="D41" s="698"/>
      <c r="E41" s="12"/>
      <c r="F41" s="12"/>
    </row>
    <row r="42" spans="1:6" ht="12.75">
      <c r="A42" s="102"/>
      <c r="B42" s="103"/>
      <c r="C42" s="103"/>
      <c r="D42" s="12"/>
      <c r="E42" s="12"/>
      <c r="F42" s="12"/>
    </row>
    <row r="43" spans="1:6" ht="12.75">
      <c r="A43" s="102"/>
      <c r="B43" s="103"/>
      <c r="C43" s="103"/>
      <c r="D43" s="12"/>
      <c r="E43" s="12"/>
      <c r="F43" s="12"/>
    </row>
    <row r="44" spans="1:6" ht="12.75">
      <c r="A44" s="102"/>
      <c r="B44" s="103"/>
      <c r="C44" s="103"/>
      <c r="D44" s="12"/>
      <c r="E44" s="12"/>
      <c r="F44" s="12"/>
    </row>
    <row r="45" spans="1:6" ht="22.5">
      <c r="A45" s="96" t="s">
        <v>395</v>
      </c>
      <c r="B45" s="586">
        <v>44561</v>
      </c>
      <c r="C45" s="440" t="s">
        <v>388</v>
      </c>
      <c r="D45" s="440" t="s">
        <v>389</v>
      </c>
      <c r="E45" s="586">
        <f>'Dane podstawowe'!$B$9</f>
        <v>44926</v>
      </c>
      <c r="F45" s="12"/>
    </row>
    <row r="46" spans="1:6" s="101" customFormat="1" ht="12.75" hidden="1">
      <c r="A46" s="104" t="s">
        <v>310</v>
      </c>
      <c r="B46" s="106">
        <v>0</v>
      </c>
      <c r="C46" s="106">
        <v>0</v>
      </c>
      <c r="D46" s="106">
        <v>0</v>
      </c>
      <c r="E46" s="106">
        <f>B46+C46-D46</f>
        <v>0</v>
      </c>
      <c r="F46" s="12"/>
    </row>
    <row r="47" spans="1:6" ht="12.75">
      <c r="A47" s="104" t="s">
        <v>311</v>
      </c>
      <c r="B47" s="106">
        <v>268027</v>
      </c>
      <c r="C47" s="106">
        <v>567704</v>
      </c>
      <c r="D47" s="106">
        <v>747777</v>
      </c>
      <c r="E47" s="106">
        <f>B47+C47-D47</f>
        <v>87954</v>
      </c>
      <c r="F47" s="12"/>
    </row>
    <row r="48" spans="1:6" ht="12.75">
      <c r="A48" s="65" t="s">
        <v>312</v>
      </c>
      <c r="B48" s="106">
        <v>291384</v>
      </c>
      <c r="C48" s="106">
        <v>154752</v>
      </c>
      <c r="D48" s="106">
        <v>46352</v>
      </c>
      <c r="E48" s="106">
        <f>B48+C48-D48</f>
        <v>399784</v>
      </c>
      <c r="F48" s="12"/>
    </row>
    <row r="49" spans="1:6" ht="12.75" hidden="1">
      <c r="A49" s="65" t="s">
        <v>313</v>
      </c>
      <c r="B49" s="106"/>
      <c r="C49" s="106"/>
      <c r="D49" s="106"/>
      <c r="E49" s="106">
        <f aca="true" t="shared" si="0" ref="E49:E56">B49+C49-D49</f>
        <v>0</v>
      </c>
      <c r="F49" s="12"/>
    </row>
    <row r="50" spans="1:6" ht="12.75" hidden="1">
      <c r="A50" s="65" t="s">
        <v>314</v>
      </c>
      <c r="B50" s="106"/>
      <c r="C50" s="106"/>
      <c r="D50" s="106"/>
      <c r="E50" s="106">
        <f t="shared" si="0"/>
        <v>0</v>
      </c>
      <c r="F50" s="12"/>
    </row>
    <row r="51" spans="1:6" ht="12.75">
      <c r="A51" s="65" t="s">
        <v>315</v>
      </c>
      <c r="B51" s="106">
        <v>33390</v>
      </c>
      <c r="C51" s="106">
        <v>1275964</v>
      </c>
      <c r="D51" s="106">
        <v>1216073</v>
      </c>
      <c r="E51" s="106">
        <f t="shared" si="0"/>
        <v>93281</v>
      </c>
      <c r="F51" s="12"/>
    </row>
    <row r="52" spans="1:6" ht="12.75" hidden="1">
      <c r="A52" s="104" t="s">
        <v>65</v>
      </c>
      <c r="B52" s="106">
        <v>0</v>
      </c>
      <c r="C52" s="106"/>
      <c r="D52" s="106"/>
      <c r="E52" s="106">
        <f t="shared" si="0"/>
        <v>0</v>
      </c>
      <c r="F52" s="12"/>
    </row>
    <row r="53" spans="1:6" ht="22.5" hidden="1">
      <c r="A53" s="104" t="s">
        <v>331</v>
      </c>
      <c r="B53" s="106"/>
      <c r="C53" s="106"/>
      <c r="D53" s="106"/>
      <c r="E53" s="106">
        <f t="shared" si="0"/>
        <v>0</v>
      </c>
      <c r="F53" s="12"/>
    </row>
    <row r="54" spans="1:6" ht="12.75">
      <c r="A54" s="104" t="s">
        <v>341</v>
      </c>
      <c r="B54" s="106">
        <v>12571</v>
      </c>
      <c r="C54" s="106">
        <v>1556</v>
      </c>
      <c r="D54" s="106">
        <v>12571</v>
      </c>
      <c r="E54" s="106">
        <f t="shared" si="0"/>
        <v>1556</v>
      </c>
      <c r="F54" s="12"/>
    </row>
    <row r="55" spans="1:6" ht="12.75">
      <c r="A55" s="104" t="s">
        <v>820</v>
      </c>
      <c r="B55" s="106">
        <v>39660</v>
      </c>
      <c r="C55" s="106">
        <v>22000</v>
      </c>
      <c r="D55" s="106">
        <v>0</v>
      </c>
      <c r="E55" s="106">
        <f t="shared" si="0"/>
        <v>61660</v>
      </c>
      <c r="F55" s="12"/>
    </row>
    <row r="56" spans="1:6" ht="12.75">
      <c r="A56" s="104" t="s">
        <v>323</v>
      </c>
      <c r="B56" s="106">
        <v>331274</v>
      </c>
      <c r="C56" s="106">
        <v>1148839</v>
      </c>
      <c r="D56" s="106">
        <v>1025569</v>
      </c>
      <c r="E56" s="106">
        <f t="shared" si="0"/>
        <v>454544</v>
      </c>
      <c r="F56" s="12"/>
    </row>
    <row r="57" spans="1:6" ht="12.75">
      <c r="A57" s="65" t="s">
        <v>633</v>
      </c>
      <c r="B57" s="106">
        <v>879503</v>
      </c>
      <c r="C57" s="106">
        <v>377672</v>
      </c>
      <c r="D57" s="106">
        <v>360883</v>
      </c>
      <c r="E57" s="106">
        <f>B57+C57-D57</f>
        <v>896292</v>
      </c>
      <c r="F57" s="12"/>
    </row>
    <row r="58" spans="1:6" ht="12.75" hidden="1">
      <c r="A58" s="65" t="s">
        <v>316</v>
      </c>
      <c r="B58" s="106"/>
      <c r="C58" s="106"/>
      <c r="D58" s="106"/>
      <c r="E58" s="105"/>
      <c r="F58" s="12"/>
    </row>
    <row r="59" spans="1:6" ht="12.75">
      <c r="A59" s="65" t="s">
        <v>486</v>
      </c>
      <c r="B59" s="106">
        <v>134109</v>
      </c>
      <c r="C59" s="106">
        <v>77877</v>
      </c>
      <c r="D59" s="106">
        <v>83383</v>
      </c>
      <c r="E59" s="106">
        <f>B59+C59-D59</f>
        <v>128603</v>
      </c>
      <c r="F59" s="12"/>
    </row>
    <row r="60" spans="1:6" ht="12.75">
      <c r="A60" s="70" t="s">
        <v>483</v>
      </c>
      <c r="B60" s="106">
        <v>298006</v>
      </c>
      <c r="C60" s="106">
        <v>207025</v>
      </c>
      <c r="D60" s="106">
        <v>341131</v>
      </c>
      <c r="E60" s="106">
        <f>B60+C60-D60</f>
        <v>163900</v>
      </c>
      <c r="F60" s="12"/>
    </row>
    <row r="61" spans="1:6" ht="12.75">
      <c r="A61" s="70" t="s">
        <v>65</v>
      </c>
      <c r="B61" s="106">
        <v>0</v>
      </c>
      <c r="C61" s="106">
        <v>911529</v>
      </c>
      <c r="D61" s="106">
        <v>0</v>
      </c>
      <c r="E61" s="106">
        <f>B61+C61-D61</f>
        <v>911529</v>
      </c>
      <c r="F61" s="12"/>
    </row>
    <row r="62" spans="1:6" ht="12.75" hidden="1">
      <c r="A62" s="69"/>
      <c r="B62" s="105"/>
      <c r="C62" s="105"/>
      <c r="D62" s="105"/>
      <c r="E62" s="105"/>
      <c r="F62" s="12"/>
    </row>
    <row r="63" spans="1:6" ht="12.75">
      <c r="A63" s="92" t="s">
        <v>390</v>
      </c>
      <c r="B63" s="105">
        <f>SUM(B46:B62)</f>
        <v>2287924</v>
      </c>
      <c r="C63" s="105">
        <f>SUM(C46:C62)</f>
        <v>4744918</v>
      </c>
      <c r="D63" s="105">
        <f>SUM(D46:D62)</f>
        <v>3833739</v>
      </c>
      <c r="E63" s="105">
        <f>SUM(E46:E62)</f>
        <v>3199103</v>
      </c>
      <c r="F63" s="12"/>
    </row>
    <row r="64" spans="1:6" ht="12.75">
      <c r="A64" s="65" t="s">
        <v>391</v>
      </c>
      <c r="B64" s="441">
        <v>0.19</v>
      </c>
      <c r="C64" s="441">
        <v>0.19</v>
      </c>
      <c r="D64" s="441">
        <v>0.19</v>
      </c>
      <c r="E64" s="441">
        <v>0.19</v>
      </c>
      <c r="F64" s="12"/>
    </row>
    <row r="65" spans="1:6" ht="12.75">
      <c r="A65" s="92" t="s">
        <v>392</v>
      </c>
      <c r="B65" s="105">
        <f>ROUND(B63*B64,0)</f>
        <v>434706</v>
      </c>
      <c r="C65" s="105">
        <f>ROUND(C63*C64,0)</f>
        <v>901534</v>
      </c>
      <c r="D65" s="105">
        <f>ROUND(D63*D64,0)</f>
        <v>728410</v>
      </c>
      <c r="E65" s="105">
        <f>ROUND(E63*E64,0)</f>
        <v>607830</v>
      </c>
      <c r="F65" s="12"/>
    </row>
    <row r="66" spans="1:6" ht="12.75">
      <c r="A66" s="102"/>
      <c r="B66" s="374">
        <f>Aktywa!E12-B65</f>
        <v>0</v>
      </c>
      <c r="C66" s="442"/>
      <c r="D66" s="442"/>
      <c r="E66" s="374">
        <f>Aktywa!D12-E65</f>
        <v>0</v>
      </c>
      <c r="F66" s="12"/>
    </row>
    <row r="67" spans="1:6" ht="12.75">
      <c r="A67" s="102"/>
      <c r="B67" s="264"/>
      <c r="C67" s="264"/>
      <c r="D67" s="12"/>
      <c r="E67" s="12"/>
      <c r="F67" s="12"/>
    </row>
    <row r="68" spans="1:6" ht="22.5">
      <c r="A68" s="96" t="s">
        <v>487</v>
      </c>
      <c r="B68" s="586">
        <f>B45</f>
        <v>44561</v>
      </c>
      <c r="C68" s="440" t="s">
        <v>388</v>
      </c>
      <c r="D68" s="440" t="s">
        <v>389</v>
      </c>
      <c r="E68" s="586">
        <f>'Dane podstawowe'!$B$9</f>
        <v>44926</v>
      </c>
      <c r="F68" s="12"/>
    </row>
    <row r="69" spans="1:6" ht="12.75">
      <c r="A69" s="104" t="s">
        <v>358</v>
      </c>
      <c r="B69" s="545">
        <v>1635756</v>
      </c>
      <c r="C69" s="545">
        <v>212820</v>
      </c>
      <c r="D69" s="545">
        <v>443606</v>
      </c>
      <c r="E69" s="545">
        <f aca="true" t="shared" si="1" ref="E69:E77">B69+C69-D69</f>
        <v>1404970</v>
      </c>
      <c r="F69" s="12"/>
    </row>
    <row r="70" spans="1:6" ht="12.75" hidden="1">
      <c r="A70" s="104" t="s">
        <v>359</v>
      </c>
      <c r="B70" s="107"/>
      <c r="C70" s="106"/>
      <c r="D70" s="106"/>
      <c r="E70" s="545">
        <f t="shared" si="1"/>
        <v>0</v>
      </c>
      <c r="F70" s="12"/>
    </row>
    <row r="71" spans="1:6" ht="22.5" hidden="1">
      <c r="A71" s="104" t="s">
        <v>360</v>
      </c>
      <c r="B71" s="106"/>
      <c r="C71" s="106"/>
      <c r="D71" s="106"/>
      <c r="E71" s="545">
        <f t="shared" si="1"/>
        <v>0</v>
      </c>
      <c r="F71" s="12"/>
    </row>
    <row r="72" spans="1:6" ht="12.75">
      <c r="A72" s="104" t="s">
        <v>595</v>
      </c>
      <c r="B72" s="106">
        <v>94180</v>
      </c>
      <c r="C72" s="545">
        <v>24219</v>
      </c>
      <c r="D72" s="545">
        <v>106049</v>
      </c>
      <c r="E72" s="545">
        <f t="shared" si="1"/>
        <v>12350</v>
      </c>
      <c r="F72" s="12"/>
    </row>
    <row r="73" spans="1:6" ht="12.75">
      <c r="A73" s="104" t="s">
        <v>340</v>
      </c>
      <c r="B73" s="545">
        <v>12972</v>
      </c>
      <c r="C73" s="545">
        <v>713</v>
      </c>
      <c r="D73" s="545">
        <v>12972</v>
      </c>
      <c r="E73" s="545">
        <f t="shared" si="1"/>
        <v>713</v>
      </c>
      <c r="F73" s="12"/>
    </row>
    <row r="74" spans="1:6" ht="12.75">
      <c r="A74" s="104" t="s">
        <v>526</v>
      </c>
      <c r="B74" s="545">
        <v>490357</v>
      </c>
      <c r="C74" s="545">
        <v>980406</v>
      </c>
      <c r="D74" s="545">
        <v>0</v>
      </c>
      <c r="E74" s="545">
        <f t="shared" si="1"/>
        <v>1470763</v>
      </c>
      <c r="F74" s="12"/>
    </row>
    <row r="75" spans="1:6" ht="12.75" hidden="1">
      <c r="A75" s="69" t="s">
        <v>125</v>
      </c>
      <c r="B75" s="106"/>
      <c r="C75" s="106"/>
      <c r="D75" s="106"/>
      <c r="E75" s="545">
        <f t="shared" si="1"/>
        <v>0</v>
      </c>
      <c r="F75" s="12"/>
    </row>
    <row r="76" spans="1:6" ht="12.75">
      <c r="A76" s="104" t="s">
        <v>672</v>
      </c>
      <c r="B76" s="106">
        <v>909636</v>
      </c>
      <c r="C76" s="106">
        <v>3376983</v>
      </c>
      <c r="D76" s="106">
        <v>4167312</v>
      </c>
      <c r="E76" s="545">
        <f t="shared" si="1"/>
        <v>119307</v>
      </c>
      <c r="F76" s="12"/>
    </row>
    <row r="77" spans="1:6" ht="12.75">
      <c r="A77" s="104" t="s">
        <v>917</v>
      </c>
      <c r="B77" s="106">
        <v>0</v>
      </c>
      <c r="C77" s="106">
        <v>460572</v>
      </c>
      <c r="D77" s="106">
        <v>0</v>
      </c>
      <c r="E77" s="545">
        <f t="shared" si="1"/>
        <v>460572</v>
      </c>
      <c r="F77" s="12"/>
    </row>
    <row r="78" spans="1:6" ht="12.75">
      <c r="A78" s="92" t="s">
        <v>393</v>
      </c>
      <c r="B78" s="105">
        <f>SUM(B69:B77)</f>
        <v>3142901</v>
      </c>
      <c r="C78" s="105">
        <f>SUM(C69:C77)</f>
        <v>5055713</v>
      </c>
      <c r="D78" s="105">
        <f>SUM(D69:D77)</f>
        <v>4729939</v>
      </c>
      <c r="E78" s="105">
        <f>B78+C78-D78</f>
        <v>3468675</v>
      </c>
      <c r="F78" s="12"/>
    </row>
    <row r="79" spans="1:6" ht="12.75">
      <c r="A79" s="65" t="s">
        <v>391</v>
      </c>
      <c r="B79" s="441">
        <v>0.19</v>
      </c>
      <c r="C79" s="441">
        <v>0.19</v>
      </c>
      <c r="D79" s="441">
        <v>0.19</v>
      </c>
      <c r="E79" s="441">
        <v>0.19</v>
      </c>
      <c r="F79" s="12"/>
    </row>
    <row r="80" spans="1:6" ht="12.75">
      <c r="A80" s="92" t="s">
        <v>394</v>
      </c>
      <c r="B80" s="108">
        <f>ROUND(B78*B79,0)</f>
        <v>597151</v>
      </c>
      <c r="C80" s="108">
        <f>ROUND(C78*C79,0)</f>
        <v>960585</v>
      </c>
      <c r="D80" s="108">
        <f>ROUND(D78*D79,0)</f>
        <v>898688</v>
      </c>
      <c r="E80" s="108">
        <f>ROUND(E78*E79,0)</f>
        <v>659048</v>
      </c>
      <c r="F80" s="12"/>
    </row>
    <row r="81" spans="1:6" ht="12.75">
      <c r="A81" s="99"/>
      <c r="B81" s="374">
        <f>Pasywa!E15-'NOTA 6 - Podatek '!B80</f>
        <v>0</v>
      </c>
      <c r="C81" s="442"/>
      <c r="D81" s="442"/>
      <c r="E81" s="374">
        <f>Pasywa!D15-'NOTA 6 - Podatek '!E80</f>
        <v>0</v>
      </c>
      <c r="F81" s="12"/>
    </row>
    <row r="82" spans="1:6" ht="12.75">
      <c r="A82" s="102" t="s">
        <v>292</v>
      </c>
      <c r="B82" s="442"/>
      <c r="C82" s="442"/>
      <c r="D82" s="442"/>
      <c r="E82" s="442"/>
      <c r="F82" s="12"/>
    </row>
    <row r="83" spans="1:6" ht="12.75">
      <c r="A83" s="87"/>
      <c r="B83" s="97"/>
      <c r="C83" s="97"/>
      <c r="D83" s="3"/>
      <c r="E83" s="3"/>
      <c r="F83" s="12"/>
    </row>
    <row r="84" spans="1:6" ht="12.75">
      <c r="A84" s="133" t="s">
        <v>330</v>
      </c>
      <c r="B84" s="586">
        <v>44926</v>
      </c>
      <c r="C84" s="586">
        <v>44561</v>
      </c>
      <c r="D84" s="3"/>
      <c r="E84" s="3"/>
      <c r="F84" s="3"/>
    </row>
    <row r="85" spans="1:6" ht="12.75">
      <c r="A85" s="256" t="s">
        <v>289</v>
      </c>
      <c r="B85" s="117">
        <v>607830</v>
      </c>
      <c r="C85" s="117">
        <v>434706</v>
      </c>
      <c r="D85" s="62"/>
      <c r="E85" s="62"/>
      <c r="F85" s="3"/>
    </row>
    <row r="86" spans="1:6" ht="12.75">
      <c r="A86" s="256" t="s">
        <v>290</v>
      </c>
      <c r="B86" s="117">
        <v>659048</v>
      </c>
      <c r="C86" s="117">
        <v>597151</v>
      </c>
      <c r="D86" s="62"/>
      <c r="E86" s="62"/>
      <c r="F86" s="62"/>
    </row>
    <row r="87" spans="1:6" ht="12.75">
      <c r="A87" s="256" t="s">
        <v>291</v>
      </c>
      <c r="B87" s="117">
        <v>0</v>
      </c>
      <c r="C87" s="117">
        <v>0</v>
      </c>
      <c r="D87" s="62"/>
      <c r="E87" s="62"/>
      <c r="F87" s="62"/>
    </row>
    <row r="88" spans="1:6" ht="12.75">
      <c r="A88" s="71" t="s">
        <v>292</v>
      </c>
      <c r="B88" s="64">
        <f>B85-B86-B87</f>
        <v>-51218</v>
      </c>
      <c r="C88" s="64">
        <f>C85-C86-C87</f>
        <v>-162445</v>
      </c>
      <c r="D88" s="62"/>
      <c r="E88" s="62"/>
      <c r="F88" s="62"/>
    </row>
    <row r="89" spans="1:6" ht="12.75">
      <c r="A89" s="56"/>
      <c r="B89" s="3"/>
      <c r="C89" s="3"/>
      <c r="D89" s="3"/>
      <c r="E89" s="3"/>
      <c r="F89" s="62"/>
    </row>
    <row r="90" spans="1:6" ht="12.75">
      <c r="A90" s="56"/>
      <c r="B90" s="3"/>
      <c r="C90" s="3"/>
      <c r="D90" s="3"/>
      <c r="E90" s="3"/>
      <c r="F90" s="3"/>
    </row>
    <row r="91" spans="1:6" ht="12.75">
      <c r="A91" s="56"/>
      <c r="B91" s="3"/>
      <c r="C91" s="3"/>
      <c r="D91" s="3"/>
      <c r="E91" s="3"/>
      <c r="F91" s="3"/>
    </row>
    <row r="92" spans="1:6" ht="12.75">
      <c r="A92" s="56"/>
      <c r="B92" s="3"/>
      <c r="C92" s="3"/>
      <c r="D92" s="3"/>
      <c r="E92" s="3"/>
      <c r="F92" s="3"/>
    </row>
    <row r="93" spans="1:6" ht="12.75">
      <c r="A93" s="56"/>
      <c r="B93" s="3"/>
      <c r="C93" s="3"/>
      <c r="D93" s="3"/>
      <c r="E93" s="3"/>
      <c r="F93" s="3"/>
    </row>
    <row r="94" spans="1:6" ht="12.75">
      <c r="A94" s="56"/>
      <c r="B94" s="3"/>
      <c r="C94" s="3"/>
      <c r="D94" s="3"/>
      <c r="E94" s="3"/>
      <c r="F94" s="3"/>
    </row>
    <row r="95" spans="1:6" ht="12.75">
      <c r="A95" s="56"/>
      <c r="B95" s="3"/>
      <c r="C95" s="3"/>
      <c r="D95" s="3"/>
      <c r="E95" s="3"/>
      <c r="F95" s="3"/>
    </row>
    <row r="96" spans="1:6" ht="12.75">
      <c r="A96" s="56"/>
      <c r="B96" s="3"/>
      <c r="C96" s="3"/>
      <c r="D96" s="3"/>
      <c r="E96" s="3"/>
      <c r="F96" s="3"/>
    </row>
    <row r="97" spans="1:6" ht="12.75">
      <c r="A97" s="56"/>
      <c r="B97" s="3"/>
      <c r="C97" s="3"/>
      <c r="D97" s="3"/>
      <c r="E97" s="3"/>
      <c r="F97" s="3"/>
    </row>
    <row r="98" spans="1:6" ht="12.75">
      <c r="A98" s="56"/>
      <c r="B98" s="3"/>
      <c r="C98" s="3"/>
      <c r="D98" s="3"/>
      <c r="E98" s="3"/>
      <c r="F98" s="3"/>
    </row>
    <row r="99" spans="1:6" ht="12.75">
      <c r="A99" s="56"/>
      <c r="B99" s="3"/>
      <c r="C99" s="3"/>
      <c r="D99" s="3"/>
      <c r="E99" s="3"/>
      <c r="F99" s="3"/>
    </row>
    <row r="100" spans="1:6" ht="12.75">
      <c r="A100" s="56"/>
      <c r="B100" s="3"/>
      <c r="C100" s="3"/>
      <c r="D100" s="3"/>
      <c r="E100" s="3"/>
      <c r="F100" s="3"/>
    </row>
    <row r="101" ht="12.75">
      <c r="F101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rowBreaks count="1" manualBreakCount="1">
    <brk id="67" max="4" man="1"/>
  </rowBreaks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view="pageBreakPreview" zoomScale="90" zoomScaleSheetLayoutView="90" zoomScalePageLayoutView="0" workbookViewId="0" topLeftCell="A1">
      <selection activeCell="F21" sqref="F21"/>
    </sheetView>
  </sheetViews>
  <sheetFormatPr defaultColWidth="9.28125" defaultRowHeight="12.75"/>
  <cols>
    <col min="1" max="1" width="55.7109375" style="52" customWidth="1"/>
    <col min="2" max="4" width="17.57421875" style="52" customWidth="1"/>
    <col min="5" max="7" width="10.7109375" style="52" customWidth="1"/>
    <col min="8" max="16384" width="9.28125" style="52" customWidth="1"/>
  </cols>
  <sheetData>
    <row r="1" ht="21" customHeight="1">
      <c r="A1" s="75"/>
    </row>
    <row r="2" spans="1:7" s="468" customFormat="1" ht="12.75">
      <c r="A2" s="480" t="s">
        <v>536</v>
      </c>
      <c r="B2" s="479"/>
      <c r="C2" s="479"/>
      <c r="D2" s="479"/>
      <c r="E2" s="479"/>
      <c r="F2" s="479"/>
      <c r="G2" s="479"/>
    </row>
    <row r="3" spans="1:10" s="62" customFormat="1" ht="11.25">
      <c r="A3" s="125"/>
      <c r="B3" s="125"/>
      <c r="C3" s="125"/>
      <c r="D3" s="125"/>
      <c r="E3" s="125"/>
      <c r="F3" s="125"/>
      <c r="G3" s="125"/>
      <c r="H3" s="125"/>
      <c r="I3" s="125"/>
      <c r="J3" s="125"/>
    </row>
    <row r="4" spans="1:7" s="427" customFormat="1" ht="22.5">
      <c r="A4" s="159" t="s">
        <v>80</v>
      </c>
      <c r="B4" s="150" t="str">
        <f>'Dane podstawowe'!$B$7</f>
        <v>01.01.2022 - 31.12.2022</v>
      </c>
      <c r="C4" s="150" t="str">
        <f>'Dane podstawowe'!$B$12</f>
        <v>01.01.2021 - 31.12.2021</v>
      </c>
      <c r="D4" s="125"/>
      <c r="E4" s="125"/>
      <c r="F4" s="125"/>
      <c r="G4" s="49"/>
    </row>
    <row r="5" spans="1:6" s="62" customFormat="1" ht="11.25">
      <c r="A5" s="76" t="s">
        <v>81</v>
      </c>
      <c r="B5" s="258">
        <f>RZiS!E26</f>
        <v>2130683</v>
      </c>
      <c r="C5" s="258">
        <f>RZiS!F26</f>
        <v>-1359868</v>
      </c>
      <c r="D5" s="125"/>
      <c r="E5" s="125"/>
      <c r="F5" s="125"/>
    </row>
    <row r="6" spans="1:6" s="62" customFormat="1" ht="11.25">
      <c r="A6" s="76" t="s">
        <v>82</v>
      </c>
      <c r="B6" s="258">
        <v>0</v>
      </c>
      <c r="C6" s="258">
        <v>0</v>
      </c>
      <c r="D6" s="125"/>
      <c r="E6" s="125"/>
      <c r="F6" s="125"/>
    </row>
    <row r="7" spans="1:6" s="62" customFormat="1" ht="22.5">
      <c r="A7" s="77" t="s">
        <v>83</v>
      </c>
      <c r="B7" s="428">
        <f>B5-B6</f>
        <v>2130683</v>
      </c>
      <c r="C7" s="428">
        <f>C5-C6</f>
        <v>-1359868</v>
      </c>
      <c r="D7" s="125"/>
      <c r="E7" s="125"/>
      <c r="F7" s="125"/>
    </row>
    <row r="8" spans="1:6" s="62" customFormat="1" ht="11.25">
      <c r="A8" s="429" t="s">
        <v>84</v>
      </c>
      <c r="B8" s="258">
        <f>SUM(B9:B11)</f>
        <v>0</v>
      </c>
      <c r="C8" s="258">
        <f>SUM(C9:C11)</f>
        <v>0</v>
      </c>
      <c r="D8" s="125"/>
      <c r="E8" s="125"/>
      <c r="F8" s="604"/>
    </row>
    <row r="9" spans="1:6" s="62" customFormat="1" ht="22.5">
      <c r="A9" s="126" t="s">
        <v>85</v>
      </c>
      <c r="B9" s="258">
        <v>0</v>
      </c>
      <c r="C9" s="258">
        <v>0</v>
      </c>
      <c r="D9" s="125"/>
      <c r="E9" s="125"/>
      <c r="F9" s="125"/>
    </row>
    <row r="10" spans="1:6" s="62" customFormat="1" ht="11.25">
      <c r="A10" s="126" t="s">
        <v>86</v>
      </c>
      <c r="B10" s="258">
        <v>0</v>
      </c>
      <c r="C10" s="258">
        <v>0</v>
      </c>
      <c r="D10" s="125"/>
      <c r="E10" s="125"/>
      <c r="F10" s="125"/>
    </row>
    <row r="11" spans="1:6" s="62" customFormat="1" ht="11.25">
      <c r="A11" s="126" t="s">
        <v>87</v>
      </c>
      <c r="B11" s="258">
        <v>0</v>
      </c>
      <c r="C11" s="258">
        <v>0</v>
      </c>
      <c r="D11" s="125"/>
      <c r="E11" s="125"/>
      <c r="F11" s="125"/>
    </row>
    <row r="12" spans="1:6" s="252" customFormat="1" ht="23.25" customHeight="1">
      <c r="A12" s="430" t="s">
        <v>88</v>
      </c>
      <c r="B12" s="431">
        <f>B7+B8</f>
        <v>2130683</v>
      </c>
      <c r="C12" s="431">
        <f>C7+C8</f>
        <v>-1359868</v>
      </c>
      <c r="D12" s="125"/>
      <c r="E12" s="125"/>
      <c r="F12" s="125"/>
    </row>
    <row r="13" spans="1:6" s="62" customFormat="1" ht="11.25">
      <c r="A13" s="432"/>
      <c r="B13" s="433"/>
      <c r="C13" s="433"/>
      <c r="D13" s="125"/>
      <c r="E13" s="125"/>
      <c r="F13" s="125"/>
    </row>
    <row r="14" spans="1:6" s="62" customFormat="1" ht="11.25">
      <c r="A14" s="118"/>
      <c r="D14" s="125"/>
      <c r="E14" s="125"/>
      <c r="F14" s="125"/>
    </row>
    <row r="15" spans="1:6" s="62" customFormat="1" ht="22.5">
      <c r="A15" s="146" t="s">
        <v>89</v>
      </c>
      <c r="B15" s="150" t="str">
        <f>'Dane podstawowe'!$B$7</f>
        <v>01.01.2022 - 31.12.2022</v>
      </c>
      <c r="C15" s="150" t="str">
        <f>'Dane podstawowe'!$B$12</f>
        <v>01.01.2021 - 31.12.2021</v>
      </c>
      <c r="D15" s="125"/>
      <c r="E15" s="125"/>
      <c r="F15" s="125"/>
    </row>
    <row r="16" spans="1:6" s="62" customFormat="1" ht="22.5">
      <c r="A16" s="71" t="s">
        <v>90</v>
      </c>
      <c r="B16" s="64">
        <v>2485775</v>
      </c>
      <c r="C16" s="64">
        <v>2485775</v>
      </c>
      <c r="D16" s="125"/>
      <c r="E16" s="125"/>
      <c r="F16" s="125"/>
    </row>
    <row r="17" spans="1:6" s="62" customFormat="1" ht="11.25">
      <c r="A17" s="70" t="s">
        <v>91</v>
      </c>
      <c r="B17" s="258">
        <f>SUM(B18:B20)</f>
        <v>116831</v>
      </c>
      <c r="C17" s="258">
        <f>SUM(C18:C20)</f>
        <v>58415</v>
      </c>
      <c r="D17" s="125"/>
      <c r="E17" s="125"/>
      <c r="F17" s="125"/>
    </row>
    <row r="18" spans="1:6" s="62" customFormat="1" ht="11.25">
      <c r="A18" s="70" t="s">
        <v>92</v>
      </c>
      <c r="B18" s="117">
        <v>116831</v>
      </c>
      <c r="C18" s="117">
        <v>58415</v>
      </c>
      <c r="D18" s="125"/>
      <c r="E18" s="125"/>
      <c r="F18" s="125"/>
    </row>
    <row r="19" spans="1:6" s="62" customFormat="1" ht="11.25">
      <c r="A19" s="70" t="s">
        <v>93</v>
      </c>
      <c r="B19" s="117">
        <v>0</v>
      </c>
      <c r="C19" s="117">
        <v>0</v>
      </c>
      <c r="D19" s="125"/>
      <c r="E19" s="125"/>
      <c r="F19" s="125"/>
    </row>
    <row r="20" spans="1:6" s="62" customFormat="1" ht="11.25">
      <c r="A20" s="70" t="s">
        <v>94</v>
      </c>
      <c r="B20" s="117">
        <v>0</v>
      </c>
      <c r="C20" s="117">
        <v>0</v>
      </c>
      <c r="D20" s="125"/>
      <c r="E20" s="125"/>
      <c r="F20" s="125"/>
    </row>
    <row r="21" spans="1:6" s="62" customFormat="1" ht="22.5">
      <c r="A21" s="71" t="s">
        <v>95</v>
      </c>
      <c r="B21" s="431">
        <f>B16+B17</f>
        <v>2602606</v>
      </c>
      <c r="C21" s="431">
        <f>C16+C17</f>
        <v>2544190</v>
      </c>
      <c r="D21" s="125"/>
      <c r="E21" s="125"/>
      <c r="F21" s="125"/>
    </row>
    <row r="22" spans="1:3" s="62" customFormat="1" ht="11.25">
      <c r="A22" s="127"/>
      <c r="B22" s="128"/>
      <c r="C22" s="128"/>
    </row>
    <row r="23" spans="2:4" s="62" customFormat="1" ht="11.25" customHeight="1">
      <c r="B23" s="720"/>
      <c r="C23" s="720"/>
      <c r="D23" s="720"/>
    </row>
    <row r="24" spans="2:4" s="62" customFormat="1" ht="11.25" customHeight="1">
      <c r="B24" s="49"/>
      <c r="C24" s="49"/>
      <c r="D24" s="49"/>
    </row>
    <row r="27" ht="12.75">
      <c r="B27" s="206"/>
    </row>
  </sheetData>
  <sheetProtection/>
  <mergeCells count="1">
    <mergeCell ref="B23:D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2"/>
  <sheetViews>
    <sheetView showGridLines="0" view="pageBreakPreview" zoomScale="88" zoomScaleSheetLayoutView="88" zoomScalePageLayoutView="0" workbookViewId="0" topLeftCell="A33">
      <selection activeCell="M34" sqref="M34"/>
    </sheetView>
  </sheetViews>
  <sheetFormatPr defaultColWidth="9.28125" defaultRowHeight="12.75" outlineLevelRow="1"/>
  <cols>
    <col min="1" max="1" width="43.57421875" style="249" customWidth="1"/>
    <col min="2" max="7" width="15.7109375" style="249" customWidth="1"/>
    <col min="8" max="8" width="13.7109375" style="249" customWidth="1"/>
    <col min="9" max="9" width="14.28125" style="249" customWidth="1"/>
    <col min="10" max="10" width="13.28125" style="249" customWidth="1"/>
    <col min="11" max="16384" width="9.28125" style="249" customWidth="1"/>
  </cols>
  <sheetData>
    <row r="1" s="155" customFormat="1" ht="11.25">
      <c r="A1" s="259"/>
    </row>
    <row r="2" spans="1:7" ht="12.75">
      <c r="A2" s="467" t="s">
        <v>537</v>
      </c>
      <c r="B2" s="60"/>
      <c r="C2" s="60"/>
      <c r="D2" s="60"/>
      <c r="E2" s="60"/>
      <c r="F2" s="60"/>
      <c r="G2" s="60"/>
    </row>
    <row r="3" spans="1:7" ht="11.25">
      <c r="A3" s="60"/>
      <c r="B3" s="60"/>
      <c r="C3" s="60"/>
      <c r="D3" s="60"/>
      <c r="E3" s="60"/>
      <c r="F3" s="60"/>
      <c r="G3" s="60"/>
    </row>
    <row r="4" spans="1:7" ht="11.25">
      <c r="A4" s="72" t="s">
        <v>100</v>
      </c>
      <c r="B4" s="60"/>
      <c r="C4" s="60"/>
      <c r="D4" s="60"/>
      <c r="E4" s="60"/>
      <c r="F4" s="60"/>
      <c r="G4" s="60"/>
    </row>
    <row r="5" spans="1:7" ht="11.25">
      <c r="A5" s="72"/>
      <c r="B5" s="60"/>
      <c r="C5" s="60"/>
      <c r="D5" s="60"/>
      <c r="E5" s="60"/>
      <c r="F5" s="60"/>
      <c r="G5" s="60"/>
    </row>
    <row r="6" spans="1:7" s="260" customFormat="1" ht="11.25">
      <c r="A6" s="96" t="s">
        <v>330</v>
      </c>
      <c r="B6" s="587">
        <f>'Dane podstawowe'!$B$9</f>
        <v>44926</v>
      </c>
      <c r="C6" s="587">
        <f>'Dane podstawowe'!$B$14</f>
        <v>44561</v>
      </c>
      <c r="D6" s="60"/>
      <c r="E6" s="60"/>
      <c r="F6" s="60"/>
      <c r="G6" s="61"/>
    </row>
    <row r="7" spans="1:7" s="52" customFormat="1" ht="12.75">
      <c r="A7" s="261" t="s">
        <v>293</v>
      </c>
      <c r="B7" s="262">
        <v>438601</v>
      </c>
      <c r="C7" s="132">
        <v>471318</v>
      </c>
      <c r="D7" s="62"/>
      <c r="E7" s="62"/>
      <c r="F7" s="62"/>
      <c r="G7" s="62"/>
    </row>
    <row r="8" spans="1:7" s="52" customFormat="1" ht="22.5">
      <c r="A8" s="138" t="s">
        <v>294</v>
      </c>
      <c r="B8" s="262">
        <v>0</v>
      </c>
      <c r="C8" s="132">
        <v>0</v>
      </c>
      <c r="D8" s="62"/>
      <c r="E8" s="62"/>
      <c r="F8" s="62"/>
      <c r="G8" s="62"/>
    </row>
    <row r="9" spans="1:7" s="52" customFormat="1" ht="12.75">
      <c r="A9" s="131" t="s">
        <v>339</v>
      </c>
      <c r="B9" s="122">
        <f>SUM(B7:B8)</f>
        <v>438601</v>
      </c>
      <c r="C9" s="122">
        <f>SUM(C7:C8)</f>
        <v>471318</v>
      </c>
      <c r="D9" s="62"/>
      <c r="E9" s="62"/>
      <c r="F9" s="62"/>
      <c r="G9" s="62"/>
    </row>
    <row r="10" spans="1:7" ht="11.25">
      <c r="A10" s="60"/>
      <c r="B10" s="341">
        <f>Aktywa!D4-'NOTA 9-Rzeczowe aktywa trwałe'!B9</f>
        <v>0</v>
      </c>
      <c r="C10" s="341">
        <f>Aktywa!E4-C9</f>
        <v>0</v>
      </c>
      <c r="D10" s="60"/>
      <c r="E10" s="60"/>
      <c r="F10" s="60"/>
      <c r="G10" s="60"/>
    </row>
    <row r="11" spans="1:7" s="101" customFormat="1" ht="12.75">
      <c r="A11" s="263"/>
      <c r="B11" s="264"/>
      <c r="C11" s="264"/>
      <c r="D11" s="62"/>
      <c r="E11" s="62"/>
      <c r="F11" s="62"/>
      <c r="G11" s="252"/>
    </row>
    <row r="12" spans="1:7" ht="11.25">
      <c r="A12" s="72" t="s">
        <v>887</v>
      </c>
      <c r="B12" s="60"/>
      <c r="C12" s="60"/>
      <c r="D12" s="60"/>
      <c r="E12" s="60"/>
      <c r="F12" s="60"/>
      <c r="G12" s="60"/>
    </row>
    <row r="13" spans="1:7" ht="11.25">
      <c r="A13" s="72"/>
      <c r="B13" s="60"/>
      <c r="C13" s="60"/>
      <c r="D13" s="60"/>
      <c r="E13" s="60"/>
      <c r="F13" s="60"/>
      <c r="G13" s="60"/>
    </row>
    <row r="14" spans="1:8" s="52" customFormat="1" ht="33.75" outlineLevel="1">
      <c r="A14" s="133" t="s">
        <v>330</v>
      </c>
      <c r="B14" s="134" t="s">
        <v>58</v>
      </c>
      <c r="C14" s="135" t="s">
        <v>59</v>
      </c>
      <c r="D14" s="134" t="s">
        <v>60</v>
      </c>
      <c r="E14" s="135" t="s">
        <v>61</v>
      </c>
      <c r="F14" s="134" t="s">
        <v>62</v>
      </c>
      <c r="G14" s="134" t="s">
        <v>99</v>
      </c>
      <c r="H14" s="134" t="s">
        <v>339</v>
      </c>
    </row>
    <row r="15" spans="1:8" s="101" customFormat="1" ht="12.75" outlineLevel="1">
      <c r="A15" s="588" t="s">
        <v>888</v>
      </c>
      <c r="B15" s="158">
        <f aca="true" t="shared" si="0" ref="B15:G15">B79</f>
        <v>0</v>
      </c>
      <c r="C15" s="158">
        <f t="shared" si="0"/>
        <v>428558</v>
      </c>
      <c r="D15" s="158">
        <f t="shared" si="0"/>
        <v>765793</v>
      </c>
      <c r="E15" s="158">
        <f t="shared" si="0"/>
        <v>281325</v>
      </c>
      <c r="F15" s="158">
        <f t="shared" si="0"/>
        <v>76881</v>
      </c>
      <c r="G15" s="158">
        <f t="shared" si="0"/>
        <v>0</v>
      </c>
      <c r="H15" s="158">
        <f>SUM(B15:G15)</f>
        <v>1552557</v>
      </c>
    </row>
    <row r="16" spans="1:8" s="101" customFormat="1" ht="12.75" outlineLevel="1">
      <c r="A16" s="611" t="s">
        <v>661</v>
      </c>
      <c r="B16" s="195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f aca="true" t="shared" si="1" ref="H16:H55">SUM(B16:G16)</f>
        <v>0</v>
      </c>
    </row>
    <row r="17" spans="1:8" s="101" customFormat="1" ht="22.5" outlineLevel="1">
      <c r="A17" s="612" t="s">
        <v>889</v>
      </c>
      <c r="B17" s="158">
        <f aca="true" t="shared" si="2" ref="B17:G17">B15+B16</f>
        <v>0</v>
      </c>
      <c r="C17" s="158">
        <f t="shared" si="2"/>
        <v>428558</v>
      </c>
      <c r="D17" s="158">
        <f t="shared" si="2"/>
        <v>765793</v>
      </c>
      <c r="E17" s="158">
        <f t="shared" si="2"/>
        <v>281325</v>
      </c>
      <c r="F17" s="158">
        <f t="shared" si="2"/>
        <v>76881</v>
      </c>
      <c r="G17" s="158">
        <f t="shared" si="2"/>
        <v>0</v>
      </c>
      <c r="H17" s="158">
        <f>SUM(B17:G17)</f>
        <v>1552557</v>
      </c>
    </row>
    <row r="18" spans="1:8" s="255" customFormat="1" ht="12.75" outlineLevel="1">
      <c r="A18" s="207" t="s">
        <v>238</v>
      </c>
      <c r="B18" s="265">
        <f aca="true" t="shared" si="3" ref="B18:G18">SUM(B19:B25)</f>
        <v>0</v>
      </c>
      <c r="C18" s="265">
        <f t="shared" si="3"/>
        <v>0</v>
      </c>
      <c r="D18" s="265">
        <f t="shared" si="3"/>
        <v>139789</v>
      </c>
      <c r="E18" s="265">
        <f t="shared" si="3"/>
        <v>0</v>
      </c>
      <c r="F18" s="265">
        <f t="shared" si="3"/>
        <v>0</v>
      </c>
      <c r="G18" s="265">
        <f t="shared" si="3"/>
        <v>0</v>
      </c>
      <c r="H18" s="265">
        <f t="shared" si="1"/>
        <v>139789</v>
      </c>
    </row>
    <row r="19" spans="1:8" s="58" customFormat="1" ht="12.75" outlineLevel="1">
      <c r="A19" s="130" t="s">
        <v>440</v>
      </c>
      <c r="B19" s="195">
        <v>0</v>
      </c>
      <c r="C19" s="195">
        <v>0</v>
      </c>
      <c r="D19" s="195">
        <v>139789</v>
      </c>
      <c r="E19" s="195">
        <v>0</v>
      </c>
      <c r="F19" s="195">
        <v>0</v>
      </c>
      <c r="G19" s="195">
        <v>0</v>
      </c>
      <c r="H19" s="195">
        <f t="shared" si="1"/>
        <v>139789</v>
      </c>
    </row>
    <row r="20" spans="1:8" s="58" customFormat="1" ht="12.75" hidden="1" outlineLevel="1">
      <c r="A20" s="130" t="s">
        <v>441</v>
      </c>
      <c r="B20" s="195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f t="shared" si="1"/>
        <v>0</v>
      </c>
    </row>
    <row r="21" spans="1:8" s="58" customFormat="1" ht="12.75" hidden="1" outlineLevel="1">
      <c r="A21" s="130" t="s">
        <v>11</v>
      </c>
      <c r="B21" s="195"/>
      <c r="C21" s="195"/>
      <c r="D21" s="195"/>
      <c r="E21" s="195"/>
      <c r="F21" s="195"/>
      <c r="G21" s="195"/>
      <c r="H21" s="195">
        <f t="shared" si="1"/>
        <v>0</v>
      </c>
    </row>
    <row r="22" spans="1:8" s="58" customFormat="1" ht="12.75" hidden="1" outlineLevel="1">
      <c r="A22" s="130" t="s">
        <v>442</v>
      </c>
      <c r="B22" s="195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f t="shared" si="1"/>
        <v>0</v>
      </c>
    </row>
    <row r="23" spans="1:8" s="58" customFormat="1" ht="12.75" hidden="1" outlineLevel="1">
      <c r="A23" s="130" t="s">
        <v>443</v>
      </c>
      <c r="B23" s="195"/>
      <c r="C23" s="195"/>
      <c r="D23" s="195"/>
      <c r="E23" s="195"/>
      <c r="F23" s="195"/>
      <c r="G23" s="195"/>
      <c r="H23" s="195">
        <f t="shared" si="1"/>
        <v>0</v>
      </c>
    </row>
    <row r="24" spans="1:8" s="58" customFormat="1" ht="12.75" hidden="1" outlineLevel="1">
      <c r="A24" s="363" t="s">
        <v>818</v>
      </c>
      <c r="B24" s="195">
        <v>0</v>
      </c>
      <c r="C24" s="195">
        <v>0</v>
      </c>
      <c r="D24" s="195">
        <v>0</v>
      </c>
      <c r="E24" s="195"/>
      <c r="F24" s="195">
        <v>0</v>
      </c>
      <c r="G24" s="195">
        <v>0</v>
      </c>
      <c r="H24" s="195">
        <f t="shared" si="1"/>
        <v>0</v>
      </c>
    </row>
    <row r="25" spans="1:8" s="58" customFormat="1" ht="12.75" hidden="1" outlineLevel="1">
      <c r="A25" s="130" t="s">
        <v>39</v>
      </c>
      <c r="B25" s="195">
        <v>0</v>
      </c>
      <c r="C25" s="195">
        <v>0</v>
      </c>
      <c r="D25" s="195">
        <v>0</v>
      </c>
      <c r="E25" s="195"/>
      <c r="F25" s="195">
        <v>0</v>
      </c>
      <c r="G25" s="195">
        <v>0</v>
      </c>
      <c r="H25" s="195">
        <f t="shared" si="1"/>
        <v>0</v>
      </c>
    </row>
    <row r="26" spans="1:8" s="266" customFormat="1" ht="12.75" outlineLevel="1">
      <c r="A26" s="207" t="s">
        <v>237</v>
      </c>
      <c r="B26" s="265">
        <f aca="true" t="shared" si="4" ref="B26:G26">SUM(B27:B32)</f>
        <v>0</v>
      </c>
      <c r="C26" s="265">
        <f t="shared" si="4"/>
        <v>0</v>
      </c>
      <c r="D26" s="265">
        <f t="shared" si="4"/>
        <v>8107</v>
      </c>
      <c r="E26" s="265">
        <f t="shared" si="4"/>
        <v>0</v>
      </c>
      <c r="F26" s="265">
        <f t="shared" si="4"/>
        <v>0</v>
      </c>
      <c r="G26" s="265">
        <f t="shared" si="4"/>
        <v>0</v>
      </c>
      <c r="H26" s="265">
        <f t="shared" si="1"/>
        <v>8107</v>
      </c>
    </row>
    <row r="27" spans="1:8" s="58" customFormat="1" ht="12.75" hidden="1" outlineLevel="1">
      <c r="A27" s="130" t="s">
        <v>444</v>
      </c>
      <c r="B27" s="195"/>
      <c r="C27" s="195"/>
      <c r="D27" s="195"/>
      <c r="E27" s="195"/>
      <c r="F27" s="195"/>
      <c r="G27" s="195"/>
      <c r="H27" s="195">
        <f t="shared" si="1"/>
        <v>0</v>
      </c>
    </row>
    <row r="28" spans="1:8" s="58" customFormat="1" ht="12.75" hidden="1" outlineLevel="1">
      <c r="A28" s="130" t="s">
        <v>445</v>
      </c>
      <c r="B28" s="195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f t="shared" si="1"/>
        <v>0</v>
      </c>
    </row>
    <row r="29" spans="1:8" s="58" customFormat="1" ht="12.75" outlineLevel="1">
      <c r="A29" s="130" t="s">
        <v>564</v>
      </c>
      <c r="B29" s="195">
        <v>0</v>
      </c>
      <c r="C29" s="195">
        <v>0</v>
      </c>
      <c r="D29" s="195">
        <v>8107</v>
      </c>
      <c r="E29" s="195">
        <v>0</v>
      </c>
      <c r="F29" s="195">
        <v>0</v>
      </c>
      <c r="G29" s="195">
        <v>0</v>
      </c>
      <c r="H29" s="195">
        <f t="shared" si="1"/>
        <v>8107</v>
      </c>
    </row>
    <row r="30" spans="1:8" s="58" customFormat="1" ht="12.75" hidden="1" outlineLevel="1">
      <c r="A30" s="361" t="s">
        <v>628</v>
      </c>
      <c r="B30" s="195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f t="shared" si="1"/>
        <v>0</v>
      </c>
    </row>
    <row r="31" spans="1:8" s="58" customFormat="1" ht="12.75" hidden="1" outlineLevel="1">
      <c r="A31" s="130" t="s">
        <v>446</v>
      </c>
      <c r="B31" s="195"/>
      <c r="C31" s="195"/>
      <c r="D31" s="195"/>
      <c r="E31" s="195"/>
      <c r="F31" s="195"/>
      <c r="G31" s="195"/>
      <c r="H31" s="195">
        <f t="shared" si="1"/>
        <v>0</v>
      </c>
    </row>
    <row r="32" spans="1:8" s="58" customFormat="1" ht="12.75" hidden="1" outlineLevel="1">
      <c r="A32" s="130" t="s">
        <v>39</v>
      </c>
      <c r="B32" s="195"/>
      <c r="C32" s="195"/>
      <c r="D32" s="195"/>
      <c r="E32" s="195"/>
      <c r="F32" s="195"/>
      <c r="G32" s="195"/>
      <c r="H32" s="195">
        <f t="shared" si="1"/>
        <v>0</v>
      </c>
    </row>
    <row r="33" spans="1:8" s="101" customFormat="1" ht="13.5" outlineLevel="1" thickBot="1">
      <c r="A33" s="129" t="s">
        <v>890</v>
      </c>
      <c r="B33" s="201">
        <f aca="true" t="shared" si="5" ref="B33:G33">B17+B18-B26</f>
        <v>0</v>
      </c>
      <c r="C33" s="201">
        <f t="shared" si="5"/>
        <v>428558</v>
      </c>
      <c r="D33" s="201">
        <f t="shared" si="5"/>
        <v>897475</v>
      </c>
      <c r="E33" s="201">
        <f t="shared" si="5"/>
        <v>281325</v>
      </c>
      <c r="F33" s="201">
        <f t="shared" si="5"/>
        <v>76881</v>
      </c>
      <c r="G33" s="201">
        <f t="shared" si="5"/>
        <v>0</v>
      </c>
      <c r="H33" s="201">
        <f t="shared" si="1"/>
        <v>1684239</v>
      </c>
    </row>
    <row r="34" spans="1:8" s="52" customFormat="1" ht="13.5" outlineLevel="1" thickTop="1">
      <c r="A34" s="78" t="s">
        <v>891</v>
      </c>
      <c r="B34" s="123">
        <f aca="true" t="shared" si="6" ref="B34:G34">B92</f>
        <v>0</v>
      </c>
      <c r="C34" s="123">
        <f t="shared" si="6"/>
        <v>212197</v>
      </c>
      <c r="D34" s="123">
        <f t="shared" si="6"/>
        <v>599715</v>
      </c>
      <c r="E34" s="123">
        <f t="shared" si="6"/>
        <v>199211</v>
      </c>
      <c r="F34" s="123">
        <f t="shared" si="6"/>
        <v>70116</v>
      </c>
      <c r="G34" s="123">
        <f t="shared" si="6"/>
        <v>0</v>
      </c>
      <c r="H34" s="123">
        <f t="shared" si="1"/>
        <v>1081239</v>
      </c>
    </row>
    <row r="35" spans="1:8" s="52" customFormat="1" ht="12.75" outlineLevel="1">
      <c r="A35" s="611" t="s">
        <v>661</v>
      </c>
      <c r="B35" s="195">
        <v>0</v>
      </c>
      <c r="C35" s="195">
        <v>0</v>
      </c>
      <c r="D35" s="195">
        <v>0</v>
      </c>
      <c r="E35" s="195">
        <v>0</v>
      </c>
      <c r="F35" s="195">
        <v>0</v>
      </c>
      <c r="G35" s="195">
        <v>0</v>
      </c>
      <c r="H35" s="195">
        <f t="shared" si="1"/>
        <v>0</v>
      </c>
    </row>
    <row r="36" spans="1:8" s="52" customFormat="1" ht="12.75" outlineLevel="1">
      <c r="A36" s="612" t="s">
        <v>892</v>
      </c>
      <c r="B36" s="123">
        <f aca="true" t="shared" si="7" ref="B36:G36">B34+B35</f>
        <v>0</v>
      </c>
      <c r="C36" s="123">
        <f t="shared" si="7"/>
        <v>212197</v>
      </c>
      <c r="D36" s="123">
        <f t="shared" si="7"/>
        <v>599715</v>
      </c>
      <c r="E36" s="123">
        <f t="shared" si="7"/>
        <v>199211</v>
      </c>
      <c r="F36" s="123">
        <f t="shared" si="7"/>
        <v>70116</v>
      </c>
      <c r="G36" s="123">
        <f t="shared" si="7"/>
        <v>0</v>
      </c>
      <c r="H36" s="123">
        <f t="shared" si="1"/>
        <v>1081239</v>
      </c>
    </row>
    <row r="37" spans="1:8" s="255" customFormat="1" ht="12.75" outlineLevel="1">
      <c r="A37" s="207" t="s">
        <v>238</v>
      </c>
      <c r="B37" s="265">
        <f aca="true" t="shared" si="8" ref="B37:G37">SUM(B38:B40)</f>
        <v>0</v>
      </c>
      <c r="C37" s="265">
        <f t="shared" si="8"/>
        <v>42380</v>
      </c>
      <c r="D37" s="265">
        <f t="shared" si="8"/>
        <v>65458</v>
      </c>
      <c r="E37" s="265">
        <f t="shared" si="8"/>
        <v>56258</v>
      </c>
      <c r="F37" s="265">
        <f t="shared" si="8"/>
        <v>3105</v>
      </c>
      <c r="G37" s="265">
        <f t="shared" si="8"/>
        <v>0</v>
      </c>
      <c r="H37" s="265">
        <f t="shared" si="1"/>
        <v>167201</v>
      </c>
    </row>
    <row r="38" spans="1:8" s="58" customFormat="1" ht="12.75" outlineLevel="1">
      <c r="A38" s="130" t="s">
        <v>447</v>
      </c>
      <c r="B38" s="195">
        <v>0</v>
      </c>
      <c r="C38" s="195">
        <v>42380</v>
      </c>
      <c r="D38" s="195">
        <f>65457+1</f>
        <v>65458</v>
      </c>
      <c r="E38" s="195">
        <v>56258</v>
      </c>
      <c r="F38" s="195">
        <v>3105</v>
      </c>
      <c r="G38" s="195">
        <v>0</v>
      </c>
      <c r="H38" s="195">
        <f t="shared" si="1"/>
        <v>167201</v>
      </c>
    </row>
    <row r="39" spans="1:8" s="58" customFormat="1" ht="12.75" hidden="1" outlineLevel="1">
      <c r="A39" s="130" t="s">
        <v>443</v>
      </c>
      <c r="B39" s="195"/>
      <c r="C39" s="195"/>
      <c r="D39" s="195"/>
      <c r="E39" s="195"/>
      <c r="F39" s="195"/>
      <c r="G39" s="195"/>
      <c r="H39" s="195">
        <f t="shared" si="1"/>
        <v>0</v>
      </c>
    </row>
    <row r="40" spans="1:8" s="58" customFormat="1" ht="12.75" hidden="1" outlineLevel="1">
      <c r="A40" s="130" t="s">
        <v>39</v>
      </c>
      <c r="B40" s="195">
        <v>0</v>
      </c>
      <c r="C40" s="195">
        <v>0</v>
      </c>
      <c r="D40" s="195">
        <v>0</v>
      </c>
      <c r="E40" s="195">
        <v>0</v>
      </c>
      <c r="F40" s="195">
        <v>0</v>
      </c>
      <c r="G40" s="195">
        <v>0</v>
      </c>
      <c r="H40" s="195">
        <f t="shared" si="1"/>
        <v>0</v>
      </c>
    </row>
    <row r="41" spans="1:8" s="255" customFormat="1" ht="12.75" outlineLevel="1">
      <c r="A41" s="207" t="s">
        <v>237</v>
      </c>
      <c r="B41" s="265">
        <f aca="true" t="shared" si="9" ref="B41:G41">SUM(B42:B45)</f>
        <v>0</v>
      </c>
      <c r="C41" s="265">
        <f t="shared" si="9"/>
        <v>0</v>
      </c>
      <c r="D41" s="265">
        <f t="shared" si="9"/>
        <v>2802</v>
      </c>
      <c r="E41" s="265">
        <f t="shared" si="9"/>
        <v>0</v>
      </c>
      <c r="F41" s="265">
        <f t="shared" si="9"/>
        <v>0</v>
      </c>
      <c r="G41" s="265">
        <f t="shared" si="9"/>
        <v>0</v>
      </c>
      <c r="H41" s="265">
        <f t="shared" si="1"/>
        <v>2802</v>
      </c>
    </row>
    <row r="42" spans="1:8" s="58" customFormat="1" ht="12.75" hidden="1" outlineLevel="1">
      <c r="A42" s="130" t="s">
        <v>445</v>
      </c>
      <c r="B42" s="195">
        <v>0</v>
      </c>
      <c r="C42" s="195">
        <v>0</v>
      </c>
      <c r="D42" s="195">
        <v>0</v>
      </c>
      <c r="E42" s="195">
        <v>0</v>
      </c>
      <c r="F42" s="195">
        <v>0</v>
      </c>
      <c r="G42" s="195">
        <v>0</v>
      </c>
      <c r="H42" s="195">
        <f t="shared" si="1"/>
        <v>0</v>
      </c>
    </row>
    <row r="43" spans="1:8" s="58" customFormat="1" ht="12.75" outlineLevel="1">
      <c r="A43" s="130" t="s">
        <v>448</v>
      </c>
      <c r="B43" s="195">
        <v>0</v>
      </c>
      <c r="C43" s="195">
        <v>0</v>
      </c>
      <c r="D43" s="195">
        <f>2801+1</f>
        <v>2802</v>
      </c>
      <c r="E43" s="195">
        <v>0</v>
      </c>
      <c r="F43" s="195">
        <v>0</v>
      </c>
      <c r="G43" s="195">
        <v>0</v>
      </c>
      <c r="H43" s="195">
        <f t="shared" si="1"/>
        <v>2802</v>
      </c>
    </row>
    <row r="44" spans="1:8" s="58" customFormat="1" ht="12.75" hidden="1" outlineLevel="1">
      <c r="A44" s="361" t="s">
        <v>627</v>
      </c>
      <c r="B44" s="195"/>
      <c r="C44" s="195"/>
      <c r="D44" s="195"/>
      <c r="E44" s="195">
        <v>0</v>
      </c>
      <c r="F44" s="195"/>
      <c r="G44" s="195"/>
      <c r="H44" s="195">
        <f t="shared" si="1"/>
        <v>0</v>
      </c>
    </row>
    <row r="45" spans="1:8" s="58" customFormat="1" ht="12.75" hidden="1" outlineLevel="1">
      <c r="A45" s="130" t="s">
        <v>39</v>
      </c>
      <c r="B45" s="195"/>
      <c r="C45" s="195"/>
      <c r="D45" s="195"/>
      <c r="E45" s="195"/>
      <c r="F45" s="195"/>
      <c r="G45" s="195"/>
      <c r="H45" s="195">
        <f t="shared" si="1"/>
        <v>0</v>
      </c>
    </row>
    <row r="46" spans="1:8" s="52" customFormat="1" ht="13.5" outlineLevel="1" thickBot="1">
      <c r="A46" s="78" t="s">
        <v>893</v>
      </c>
      <c r="B46" s="203">
        <f aca="true" t="shared" si="10" ref="B46:G46">B36+B37-B41</f>
        <v>0</v>
      </c>
      <c r="C46" s="203">
        <f t="shared" si="10"/>
        <v>254577</v>
      </c>
      <c r="D46" s="203">
        <f t="shared" si="10"/>
        <v>662371</v>
      </c>
      <c r="E46" s="203">
        <f t="shared" si="10"/>
        <v>255469</v>
      </c>
      <c r="F46" s="203">
        <f t="shared" si="10"/>
        <v>73221</v>
      </c>
      <c r="G46" s="203">
        <f t="shared" si="10"/>
        <v>0</v>
      </c>
      <c r="H46" s="203">
        <f t="shared" si="1"/>
        <v>1245638</v>
      </c>
    </row>
    <row r="47" spans="1:8" s="52" customFormat="1" ht="13.5" hidden="1" outlineLevel="1" thickTop="1">
      <c r="A47" s="78" t="str">
        <f>CONCATENATE("Odpisy aktualizujące na dzień"," ",'Dane podstawowe'!$B$8)</f>
        <v>Odpisy aktualizujące na dzień 44562</v>
      </c>
      <c r="B47" s="202">
        <f aca="true" t="shared" si="11" ref="B47:G47">B101</f>
        <v>0</v>
      </c>
      <c r="C47" s="202">
        <f t="shared" si="11"/>
        <v>0</v>
      </c>
      <c r="D47" s="202">
        <f t="shared" si="11"/>
        <v>0</v>
      </c>
      <c r="E47" s="202">
        <f t="shared" si="11"/>
        <v>0</v>
      </c>
      <c r="F47" s="202">
        <f t="shared" si="11"/>
        <v>0</v>
      </c>
      <c r="G47" s="202">
        <f t="shared" si="11"/>
        <v>0</v>
      </c>
      <c r="H47" s="202">
        <f t="shared" si="1"/>
        <v>0</v>
      </c>
    </row>
    <row r="48" spans="1:8" s="255" customFormat="1" ht="12.75" hidden="1" outlineLevel="1">
      <c r="A48" s="267" t="s">
        <v>238</v>
      </c>
      <c r="B48" s="268">
        <f aca="true" t="shared" si="12" ref="B48:G48">SUM(B49:B50)</f>
        <v>0</v>
      </c>
      <c r="C48" s="268">
        <f t="shared" si="12"/>
        <v>0</v>
      </c>
      <c r="D48" s="268">
        <f t="shared" si="12"/>
        <v>0</v>
      </c>
      <c r="E48" s="268">
        <f t="shared" si="12"/>
        <v>0</v>
      </c>
      <c r="F48" s="268">
        <f t="shared" si="12"/>
        <v>0</v>
      </c>
      <c r="G48" s="268">
        <f t="shared" si="12"/>
        <v>0</v>
      </c>
      <c r="H48" s="268">
        <f t="shared" si="1"/>
        <v>0</v>
      </c>
    </row>
    <row r="49" spans="1:8" s="58" customFormat="1" ht="12.75" hidden="1" outlineLevel="1">
      <c r="A49" s="130" t="s">
        <v>449</v>
      </c>
      <c r="B49" s="253"/>
      <c r="C49" s="253"/>
      <c r="D49" s="253"/>
      <c r="E49" s="253"/>
      <c r="F49" s="253"/>
      <c r="G49" s="253"/>
      <c r="H49" s="253">
        <f t="shared" si="1"/>
        <v>0</v>
      </c>
    </row>
    <row r="50" spans="1:8" s="58" customFormat="1" ht="12.75" hidden="1" outlineLevel="1">
      <c r="A50" s="130" t="s">
        <v>39</v>
      </c>
      <c r="B50" s="253"/>
      <c r="C50" s="253"/>
      <c r="D50" s="253"/>
      <c r="E50" s="253"/>
      <c r="F50" s="253"/>
      <c r="G50" s="253"/>
      <c r="H50" s="253">
        <f t="shared" si="1"/>
        <v>0</v>
      </c>
    </row>
    <row r="51" spans="1:8" s="255" customFormat="1" ht="12.75" hidden="1" outlineLevel="1">
      <c r="A51" s="267" t="s">
        <v>237</v>
      </c>
      <c r="B51" s="268">
        <f aca="true" t="shared" si="13" ref="B51:G51">SUM(B52:B54)</f>
        <v>0</v>
      </c>
      <c r="C51" s="268">
        <f t="shared" si="13"/>
        <v>0</v>
      </c>
      <c r="D51" s="268">
        <f t="shared" si="13"/>
        <v>0</v>
      </c>
      <c r="E51" s="268">
        <f t="shared" si="13"/>
        <v>0</v>
      </c>
      <c r="F51" s="268">
        <f t="shared" si="13"/>
        <v>0</v>
      </c>
      <c r="G51" s="268">
        <f t="shared" si="13"/>
        <v>0</v>
      </c>
      <c r="H51" s="268">
        <f t="shared" si="1"/>
        <v>0</v>
      </c>
    </row>
    <row r="52" spans="1:8" s="58" customFormat="1" ht="12.75" hidden="1" outlineLevel="1">
      <c r="A52" s="130" t="s">
        <v>450</v>
      </c>
      <c r="B52" s="195"/>
      <c r="C52" s="195"/>
      <c r="D52" s="195"/>
      <c r="E52" s="195"/>
      <c r="F52" s="195"/>
      <c r="G52" s="195"/>
      <c r="H52" s="195">
        <f t="shared" si="1"/>
        <v>0</v>
      </c>
    </row>
    <row r="53" spans="1:8" s="58" customFormat="1" ht="12.75" hidden="1" outlineLevel="1">
      <c r="A53" s="130" t="s">
        <v>451</v>
      </c>
      <c r="B53" s="195"/>
      <c r="C53" s="195"/>
      <c r="D53" s="195"/>
      <c r="E53" s="195"/>
      <c r="F53" s="195"/>
      <c r="G53" s="195"/>
      <c r="H53" s="195">
        <f t="shared" si="1"/>
        <v>0</v>
      </c>
    </row>
    <row r="54" spans="1:8" s="58" customFormat="1" ht="12.75" hidden="1" outlineLevel="1">
      <c r="A54" s="130" t="s">
        <v>39</v>
      </c>
      <c r="B54" s="195"/>
      <c r="C54" s="195"/>
      <c r="D54" s="195"/>
      <c r="E54" s="195"/>
      <c r="F54" s="195"/>
      <c r="G54" s="195"/>
      <c r="H54" s="195">
        <f t="shared" si="1"/>
        <v>0</v>
      </c>
    </row>
    <row r="55" spans="1:8" s="52" customFormat="1" ht="13.5" hidden="1" outlineLevel="1" thickBot="1">
      <c r="A55" s="78" t="str">
        <f>CONCATENATE("Odpisy aktualizujące na dzień"," ",'Dane podstawowe'!$B$9)</f>
        <v>Odpisy aktualizujące na dzień 44926</v>
      </c>
      <c r="B55" s="203">
        <f aca="true" t="shared" si="14" ref="B55:G55">B47+B48-B51</f>
        <v>0</v>
      </c>
      <c r="C55" s="203">
        <f t="shared" si="14"/>
        <v>0</v>
      </c>
      <c r="D55" s="203">
        <f t="shared" si="14"/>
        <v>0</v>
      </c>
      <c r="E55" s="203">
        <f t="shared" si="14"/>
        <v>0</v>
      </c>
      <c r="F55" s="203">
        <f t="shared" si="14"/>
        <v>0</v>
      </c>
      <c r="G55" s="203">
        <f t="shared" si="14"/>
        <v>0</v>
      </c>
      <c r="H55" s="203">
        <f t="shared" si="1"/>
        <v>0</v>
      </c>
    </row>
    <row r="56" spans="1:8" s="101" customFormat="1" ht="14.25" outlineLevel="1" thickBot="1" thickTop="1">
      <c r="A56" s="129" t="s">
        <v>894</v>
      </c>
      <c r="B56" s="201">
        <f aca="true" t="shared" si="15" ref="B56:H56">B33-B46-B55</f>
        <v>0</v>
      </c>
      <c r="C56" s="201">
        <f t="shared" si="15"/>
        <v>173981</v>
      </c>
      <c r="D56" s="201">
        <f t="shared" si="15"/>
        <v>235104</v>
      </c>
      <c r="E56" s="201">
        <f t="shared" si="15"/>
        <v>25856</v>
      </c>
      <c r="F56" s="201">
        <f t="shared" si="15"/>
        <v>3660</v>
      </c>
      <c r="G56" s="201">
        <f t="shared" si="15"/>
        <v>0</v>
      </c>
      <c r="H56" s="201">
        <f t="shared" si="15"/>
        <v>438601</v>
      </c>
    </row>
    <row r="57" spans="1:8" s="101" customFormat="1" ht="13.5" outlineLevel="1" thickTop="1">
      <c r="A57" s="143"/>
      <c r="B57" s="269"/>
      <c r="C57" s="269"/>
      <c r="D57" s="269"/>
      <c r="E57" s="269"/>
      <c r="F57" s="269"/>
      <c r="G57" s="269"/>
      <c r="H57" s="269"/>
    </row>
    <row r="58" spans="1:8" s="101" customFormat="1" ht="12.75" outlineLevel="1">
      <c r="A58" s="72" t="s">
        <v>795</v>
      </c>
      <c r="B58" s="60"/>
      <c r="C58" s="269"/>
      <c r="D58" s="269"/>
      <c r="E58" s="269"/>
      <c r="F58" s="269"/>
      <c r="G58" s="269"/>
      <c r="H58" s="269"/>
    </row>
    <row r="59" spans="1:8" ht="11.25">
      <c r="A59" s="60"/>
      <c r="B59" s="60"/>
      <c r="C59" s="60"/>
      <c r="D59" s="60"/>
      <c r="E59" s="60"/>
      <c r="F59" s="60"/>
      <c r="G59" s="60"/>
      <c r="H59" s="60"/>
    </row>
    <row r="60" spans="1:8" s="52" customFormat="1" ht="33.75" outlineLevel="1">
      <c r="A60" s="133" t="s">
        <v>330</v>
      </c>
      <c r="B60" s="134" t="s">
        <v>58</v>
      </c>
      <c r="C60" s="135" t="s">
        <v>59</v>
      </c>
      <c r="D60" s="134" t="s">
        <v>60</v>
      </c>
      <c r="E60" s="135" t="s">
        <v>61</v>
      </c>
      <c r="F60" s="134" t="s">
        <v>62</v>
      </c>
      <c r="G60" s="134" t="s">
        <v>99</v>
      </c>
      <c r="H60" s="134" t="s">
        <v>339</v>
      </c>
    </row>
    <row r="61" spans="1:8" s="101" customFormat="1" ht="18.75" customHeight="1" outlineLevel="1">
      <c r="A61" s="588" t="s">
        <v>796</v>
      </c>
      <c r="B61" s="158">
        <v>0</v>
      </c>
      <c r="C61" s="158">
        <v>428558</v>
      </c>
      <c r="D61" s="158">
        <v>668730</v>
      </c>
      <c r="E61" s="158">
        <v>0</v>
      </c>
      <c r="F61" s="158">
        <v>72818</v>
      </c>
      <c r="G61" s="158">
        <v>0</v>
      </c>
      <c r="H61" s="158">
        <f>SUM(B61:G61)</f>
        <v>1170106</v>
      </c>
    </row>
    <row r="62" spans="1:8" s="101" customFormat="1" ht="12.75" customHeight="1" outlineLevel="1">
      <c r="A62" s="611" t="s">
        <v>661</v>
      </c>
      <c r="B62" s="444">
        <v>0</v>
      </c>
      <c r="C62" s="444">
        <v>0</v>
      </c>
      <c r="D62" s="444">
        <v>0</v>
      </c>
      <c r="E62" s="444">
        <v>0</v>
      </c>
      <c r="F62" s="444">
        <v>0</v>
      </c>
      <c r="G62" s="444">
        <v>0</v>
      </c>
      <c r="H62" s="444">
        <f>SUM(B62:G62)</f>
        <v>0</v>
      </c>
    </row>
    <row r="63" spans="1:8" s="101" customFormat="1" ht="13.5" customHeight="1" outlineLevel="1">
      <c r="A63" s="612" t="s">
        <v>895</v>
      </c>
      <c r="B63" s="158">
        <f aca="true" t="shared" si="16" ref="B63:G63">B61+B62</f>
        <v>0</v>
      </c>
      <c r="C63" s="158">
        <f t="shared" si="16"/>
        <v>428558</v>
      </c>
      <c r="D63" s="158">
        <f t="shared" si="16"/>
        <v>668730</v>
      </c>
      <c r="E63" s="158">
        <f t="shared" si="16"/>
        <v>0</v>
      </c>
      <c r="F63" s="158">
        <f t="shared" si="16"/>
        <v>72818</v>
      </c>
      <c r="G63" s="158">
        <f t="shared" si="16"/>
        <v>0</v>
      </c>
      <c r="H63" s="158">
        <f>SUM(B63:G63)</f>
        <v>1170106</v>
      </c>
    </row>
    <row r="64" spans="1:8" s="52" customFormat="1" ht="12.75" outlineLevel="1">
      <c r="A64" s="207" t="s">
        <v>238</v>
      </c>
      <c r="B64" s="265">
        <f aca="true" t="shared" si="17" ref="B64:G64">SUM(B65:B71)</f>
        <v>0</v>
      </c>
      <c r="C64" s="265">
        <f t="shared" si="17"/>
        <v>0</v>
      </c>
      <c r="D64" s="265">
        <f t="shared" si="17"/>
        <v>97063</v>
      </c>
      <c r="E64" s="265">
        <f t="shared" si="17"/>
        <v>281325</v>
      </c>
      <c r="F64" s="265">
        <f t="shared" si="17"/>
        <v>4063</v>
      </c>
      <c r="G64" s="265">
        <f t="shared" si="17"/>
        <v>0</v>
      </c>
      <c r="H64" s="265">
        <f aca="true" t="shared" si="18" ref="H64:H101">SUM(B64:G64)</f>
        <v>382451</v>
      </c>
    </row>
    <row r="65" spans="1:8" s="58" customFormat="1" ht="12.75" outlineLevel="1">
      <c r="A65" s="130" t="s">
        <v>440</v>
      </c>
      <c r="B65" s="195">
        <v>0</v>
      </c>
      <c r="C65" s="195">
        <v>0</v>
      </c>
      <c r="D65" s="195">
        <v>97063</v>
      </c>
      <c r="E65" s="195">
        <v>0</v>
      </c>
      <c r="F65" s="195">
        <v>4063</v>
      </c>
      <c r="G65" s="444">
        <v>0</v>
      </c>
      <c r="H65" s="195">
        <f t="shared" si="18"/>
        <v>101126</v>
      </c>
    </row>
    <row r="66" spans="1:8" s="58" customFormat="1" ht="12.75" hidden="1" outlineLevel="1">
      <c r="A66" s="130" t="s">
        <v>441</v>
      </c>
      <c r="B66" s="195">
        <v>0</v>
      </c>
      <c r="C66" s="195">
        <v>0</v>
      </c>
      <c r="D66" s="195">
        <v>0</v>
      </c>
      <c r="E66" s="195">
        <v>0</v>
      </c>
      <c r="F66" s="195">
        <v>0</v>
      </c>
      <c r="G66" s="195">
        <v>0</v>
      </c>
      <c r="H66" s="195">
        <f t="shared" si="18"/>
        <v>0</v>
      </c>
    </row>
    <row r="67" spans="1:8" s="58" customFormat="1" ht="12.75" hidden="1" outlineLevel="1">
      <c r="A67" s="130" t="s">
        <v>11</v>
      </c>
      <c r="B67" s="195"/>
      <c r="C67" s="195"/>
      <c r="D67" s="195"/>
      <c r="E67" s="195"/>
      <c r="F67" s="195"/>
      <c r="G67" s="195"/>
      <c r="H67" s="195">
        <f t="shared" si="18"/>
        <v>0</v>
      </c>
    </row>
    <row r="68" spans="1:8" s="58" customFormat="1" ht="12.75" hidden="1" outlineLevel="1">
      <c r="A68" s="130" t="s">
        <v>442</v>
      </c>
      <c r="B68" s="195">
        <v>0</v>
      </c>
      <c r="C68" s="195">
        <v>0</v>
      </c>
      <c r="D68" s="195">
        <v>0</v>
      </c>
      <c r="E68" s="195">
        <v>0</v>
      </c>
      <c r="F68" s="195">
        <v>0</v>
      </c>
      <c r="G68" s="195">
        <v>0</v>
      </c>
      <c r="H68" s="195">
        <f t="shared" si="18"/>
        <v>0</v>
      </c>
    </row>
    <row r="69" spans="1:8" s="58" customFormat="1" ht="12.75" hidden="1" outlineLevel="1">
      <c r="A69" s="130" t="s">
        <v>443</v>
      </c>
      <c r="B69" s="195"/>
      <c r="C69" s="195"/>
      <c r="D69" s="195"/>
      <c r="E69" s="195"/>
      <c r="F69" s="195"/>
      <c r="G69" s="195"/>
      <c r="H69" s="195">
        <f t="shared" si="18"/>
        <v>0</v>
      </c>
    </row>
    <row r="70" spans="1:8" s="58" customFormat="1" ht="12.75" outlineLevel="1">
      <c r="A70" s="363" t="s">
        <v>818</v>
      </c>
      <c r="B70" s="195">
        <v>0</v>
      </c>
      <c r="C70" s="195">
        <v>0</v>
      </c>
      <c r="D70" s="195">
        <v>0</v>
      </c>
      <c r="E70" s="195">
        <v>114937</v>
      </c>
      <c r="F70" s="195">
        <v>0</v>
      </c>
      <c r="G70" s="195">
        <v>0</v>
      </c>
      <c r="H70" s="195">
        <f t="shared" si="18"/>
        <v>114937</v>
      </c>
    </row>
    <row r="71" spans="1:8" s="58" customFormat="1" ht="12.75" outlineLevel="1">
      <c r="A71" s="130" t="s">
        <v>39</v>
      </c>
      <c r="B71" s="195">
        <v>0</v>
      </c>
      <c r="C71" s="195">
        <v>0</v>
      </c>
      <c r="D71" s="195">
        <v>0</v>
      </c>
      <c r="E71" s="195">
        <v>166388</v>
      </c>
      <c r="F71" s="195">
        <v>0</v>
      </c>
      <c r="G71" s="195">
        <v>0</v>
      </c>
      <c r="H71" s="195">
        <f t="shared" si="18"/>
        <v>166388</v>
      </c>
    </row>
    <row r="72" spans="1:8" s="52" customFormat="1" ht="12.75" outlineLevel="1">
      <c r="A72" s="207" t="s">
        <v>237</v>
      </c>
      <c r="B72" s="265">
        <f aca="true" t="shared" si="19" ref="B72:G72">SUM(B73:B78)</f>
        <v>0</v>
      </c>
      <c r="C72" s="265">
        <f t="shared" si="19"/>
        <v>0</v>
      </c>
      <c r="D72" s="265">
        <f t="shared" si="19"/>
        <v>0</v>
      </c>
      <c r="E72" s="265">
        <f t="shared" si="19"/>
        <v>0</v>
      </c>
      <c r="F72" s="265">
        <f t="shared" si="19"/>
        <v>0</v>
      </c>
      <c r="G72" s="265">
        <f t="shared" si="19"/>
        <v>0</v>
      </c>
      <c r="H72" s="265">
        <f t="shared" si="18"/>
        <v>0</v>
      </c>
    </row>
    <row r="73" spans="1:8" s="58" customFormat="1" ht="12.75" hidden="1" outlineLevel="1">
      <c r="A73" s="130" t="s">
        <v>444</v>
      </c>
      <c r="B73" s="195"/>
      <c r="C73" s="195"/>
      <c r="D73" s="195"/>
      <c r="E73" s="195"/>
      <c r="F73" s="195"/>
      <c r="G73" s="195"/>
      <c r="H73" s="195">
        <f t="shared" si="18"/>
        <v>0</v>
      </c>
    </row>
    <row r="74" spans="1:8" s="58" customFormat="1" ht="12.75" hidden="1" outlineLevel="1">
      <c r="A74" s="130" t="s">
        <v>445</v>
      </c>
      <c r="B74" s="195">
        <v>0</v>
      </c>
      <c r="C74" s="195">
        <v>0</v>
      </c>
      <c r="D74" s="195">
        <v>0</v>
      </c>
      <c r="E74" s="195">
        <v>0</v>
      </c>
      <c r="F74" s="195">
        <v>0</v>
      </c>
      <c r="G74" s="195">
        <v>0</v>
      </c>
      <c r="H74" s="195">
        <f t="shared" si="18"/>
        <v>0</v>
      </c>
    </row>
    <row r="75" spans="1:8" s="58" customFormat="1" ht="12.75" hidden="1" outlineLevel="1">
      <c r="A75" s="130" t="s">
        <v>448</v>
      </c>
      <c r="B75" s="195">
        <v>0</v>
      </c>
      <c r="C75" s="195">
        <v>0</v>
      </c>
      <c r="D75" s="195">
        <v>0</v>
      </c>
      <c r="E75" s="195">
        <v>0</v>
      </c>
      <c r="F75" s="195">
        <v>0</v>
      </c>
      <c r="G75" s="195">
        <v>0</v>
      </c>
      <c r="H75" s="195">
        <f t="shared" si="18"/>
        <v>0</v>
      </c>
    </row>
    <row r="76" spans="1:8" s="58" customFormat="1" ht="12.75" hidden="1" outlineLevel="1">
      <c r="A76" s="130" t="s">
        <v>443</v>
      </c>
      <c r="B76" s="195"/>
      <c r="C76" s="195"/>
      <c r="D76" s="195"/>
      <c r="E76" s="195"/>
      <c r="F76" s="195"/>
      <c r="G76" s="195"/>
      <c r="H76" s="195">
        <f t="shared" si="18"/>
        <v>0</v>
      </c>
    </row>
    <row r="77" spans="1:8" s="58" customFormat="1" ht="12.75" hidden="1" outlineLevel="1">
      <c r="A77" s="130" t="s">
        <v>446</v>
      </c>
      <c r="B77" s="195"/>
      <c r="C77" s="195"/>
      <c r="D77" s="195"/>
      <c r="E77" s="195"/>
      <c r="F77" s="195"/>
      <c r="G77" s="195"/>
      <c r="H77" s="195">
        <f t="shared" si="18"/>
        <v>0</v>
      </c>
    </row>
    <row r="78" spans="1:8" s="58" customFormat="1" ht="12.75" hidden="1" outlineLevel="1">
      <c r="A78" s="361" t="s">
        <v>627</v>
      </c>
      <c r="B78" s="195">
        <v>0</v>
      </c>
      <c r="C78" s="195">
        <v>0</v>
      </c>
      <c r="D78" s="195">
        <v>0</v>
      </c>
      <c r="E78" s="195">
        <v>0</v>
      </c>
      <c r="F78" s="195">
        <v>0</v>
      </c>
      <c r="G78" s="195">
        <v>0</v>
      </c>
      <c r="H78" s="195">
        <f t="shared" si="18"/>
        <v>0</v>
      </c>
    </row>
    <row r="79" spans="1:8" s="101" customFormat="1" ht="13.5" outlineLevel="1" thickBot="1">
      <c r="A79" s="129" t="s">
        <v>798</v>
      </c>
      <c r="B79" s="201">
        <f aca="true" t="shared" si="20" ref="B79:G79">B63+B64-B72</f>
        <v>0</v>
      </c>
      <c r="C79" s="201">
        <f t="shared" si="20"/>
        <v>428558</v>
      </c>
      <c r="D79" s="201">
        <f t="shared" si="20"/>
        <v>765793</v>
      </c>
      <c r="E79" s="201">
        <f t="shared" si="20"/>
        <v>281325</v>
      </c>
      <c r="F79" s="201">
        <f t="shared" si="20"/>
        <v>76881</v>
      </c>
      <c r="G79" s="201">
        <f t="shared" si="20"/>
        <v>0</v>
      </c>
      <c r="H79" s="201">
        <f t="shared" si="18"/>
        <v>1552557</v>
      </c>
    </row>
    <row r="80" spans="1:8" s="52" customFormat="1" ht="13.5" outlineLevel="1" thickTop="1">
      <c r="A80" s="78" t="s">
        <v>799</v>
      </c>
      <c r="B80" s="123">
        <v>0</v>
      </c>
      <c r="C80" s="123">
        <v>169281</v>
      </c>
      <c r="D80" s="123">
        <v>545171</v>
      </c>
      <c r="E80" s="123">
        <v>0</v>
      </c>
      <c r="F80" s="123">
        <v>63895</v>
      </c>
      <c r="G80" s="123">
        <v>0</v>
      </c>
      <c r="H80" s="123">
        <f t="shared" si="18"/>
        <v>778347</v>
      </c>
    </row>
    <row r="81" spans="1:8" s="52" customFormat="1" ht="12.75" outlineLevel="1">
      <c r="A81" s="611" t="s">
        <v>661</v>
      </c>
      <c r="B81" s="195">
        <v>0</v>
      </c>
      <c r="C81" s="195">
        <v>0</v>
      </c>
      <c r="D81" s="195">
        <v>0</v>
      </c>
      <c r="E81" s="195">
        <v>0</v>
      </c>
      <c r="F81" s="195">
        <v>0</v>
      </c>
      <c r="G81" s="195">
        <v>0</v>
      </c>
      <c r="H81" s="195">
        <f>SUM(B81:G81)</f>
        <v>0</v>
      </c>
    </row>
    <row r="82" spans="1:8" s="52" customFormat="1" ht="12.75" outlineLevel="1">
      <c r="A82" s="612" t="s">
        <v>896</v>
      </c>
      <c r="B82" s="123">
        <f aca="true" t="shared" si="21" ref="B82:G82">B80+B81</f>
        <v>0</v>
      </c>
      <c r="C82" s="123">
        <f t="shared" si="21"/>
        <v>169281</v>
      </c>
      <c r="D82" s="123">
        <f t="shared" si="21"/>
        <v>545171</v>
      </c>
      <c r="E82" s="123">
        <f t="shared" si="21"/>
        <v>0</v>
      </c>
      <c r="F82" s="123">
        <f t="shared" si="21"/>
        <v>63895</v>
      </c>
      <c r="G82" s="123">
        <f t="shared" si="21"/>
        <v>0</v>
      </c>
      <c r="H82" s="123">
        <f>SUM(B82:G82)</f>
        <v>778347</v>
      </c>
    </row>
    <row r="83" spans="1:8" s="52" customFormat="1" ht="12.75" customHeight="1" outlineLevel="1">
      <c r="A83" s="207" t="s">
        <v>238</v>
      </c>
      <c r="B83" s="265">
        <f aca="true" t="shared" si="22" ref="B83:G83">SUM(B84:B86)</f>
        <v>0</v>
      </c>
      <c r="C83" s="265">
        <f t="shared" si="22"/>
        <v>42916</v>
      </c>
      <c r="D83" s="265">
        <f t="shared" si="22"/>
        <v>54544</v>
      </c>
      <c r="E83" s="265">
        <f t="shared" si="22"/>
        <v>199211</v>
      </c>
      <c r="F83" s="265">
        <f t="shared" si="22"/>
        <v>6221</v>
      </c>
      <c r="G83" s="265">
        <f t="shared" si="22"/>
        <v>0</v>
      </c>
      <c r="H83" s="265">
        <f t="shared" si="18"/>
        <v>302892</v>
      </c>
    </row>
    <row r="84" spans="1:8" s="58" customFormat="1" ht="12.75" outlineLevel="1">
      <c r="A84" s="130" t="s">
        <v>447</v>
      </c>
      <c r="B84" s="195">
        <v>0</v>
      </c>
      <c r="C84" s="195">
        <v>42916</v>
      </c>
      <c r="D84" s="195">
        <v>54544</v>
      </c>
      <c r="E84" s="195">
        <v>32823</v>
      </c>
      <c r="F84" s="195">
        <v>6221</v>
      </c>
      <c r="G84" s="195">
        <v>0</v>
      </c>
      <c r="H84" s="195">
        <f t="shared" si="18"/>
        <v>136504</v>
      </c>
    </row>
    <row r="85" spans="1:8" s="58" customFormat="1" ht="12.75" hidden="1" outlineLevel="1">
      <c r="A85" s="130" t="s">
        <v>443</v>
      </c>
      <c r="B85" s="195"/>
      <c r="C85" s="195"/>
      <c r="D85" s="195"/>
      <c r="E85" s="195"/>
      <c r="F85" s="195"/>
      <c r="G85" s="195"/>
      <c r="H85" s="195">
        <f t="shared" si="18"/>
        <v>0</v>
      </c>
    </row>
    <row r="86" spans="1:8" s="58" customFormat="1" ht="12.75" outlineLevel="1">
      <c r="A86" s="130" t="s">
        <v>39</v>
      </c>
      <c r="B86" s="195">
        <v>0</v>
      </c>
      <c r="C86" s="195">
        <v>0</v>
      </c>
      <c r="D86" s="195">
        <v>0</v>
      </c>
      <c r="E86" s="195">
        <v>166388</v>
      </c>
      <c r="F86" s="195">
        <v>0</v>
      </c>
      <c r="G86" s="195">
        <v>0</v>
      </c>
      <c r="H86" s="195">
        <f t="shared" si="18"/>
        <v>166388</v>
      </c>
    </row>
    <row r="87" spans="1:8" s="52" customFormat="1" ht="12.75" outlineLevel="1">
      <c r="A87" s="207" t="s">
        <v>237</v>
      </c>
      <c r="B87" s="265">
        <f aca="true" t="shared" si="23" ref="B87:G87">SUM(B88:B91)</f>
        <v>0</v>
      </c>
      <c r="C87" s="265">
        <f t="shared" si="23"/>
        <v>0</v>
      </c>
      <c r="D87" s="265">
        <f t="shared" si="23"/>
        <v>0</v>
      </c>
      <c r="E87" s="265">
        <f t="shared" si="23"/>
        <v>0</v>
      </c>
      <c r="F87" s="265">
        <f t="shared" si="23"/>
        <v>0</v>
      </c>
      <c r="G87" s="265">
        <f t="shared" si="23"/>
        <v>0</v>
      </c>
      <c r="H87" s="265">
        <f t="shared" si="18"/>
        <v>0</v>
      </c>
    </row>
    <row r="88" spans="1:8" s="58" customFormat="1" ht="12.75" hidden="1" outlineLevel="1">
      <c r="A88" s="130" t="s">
        <v>445</v>
      </c>
      <c r="B88" s="195">
        <v>0</v>
      </c>
      <c r="C88" s="195">
        <v>0</v>
      </c>
      <c r="D88" s="195">
        <v>0</v>
      </c>
      <c r="E88" s="195">
        <v>0</v>
      </c>
      <c r="F88" s="195">
        <v>0</v>
      </c>
      <c r="G88" s="195">
        <v>0</v>
      </c>
      <c r="H88" s="195">
        <f t="shared" si="18"/>
        <v>0</v>
      </c>
    </row>
    <row r="89" spans="1:8" s="58" customFormat="1" ht="12.75" hidden="1" outlineLevel="1">
      <c r="A89" s="130" t="s">
        <v>448</v>
      </c>
      <c r="B89" s="195">
        <v>0</v>
      </c>
      <c r="C89" s="195">
        <v>0</v>
      </c>
      <c r="D89" s="195">
        <v>0</v>
      </c>
      <c r="E89" s="195">
        <v>0</v>
      </c>
      <c r="F89" s="195">
        <v>0</v>
      </c>
      <c r="G89" s="195">
        <v>0</v>
      </c>
      <c r="H89" s="195">
        <f t="shared" si="18"/>
        <v>0</v>
      </c>
    </row>
    <row r="90" spans="1:8" s="58" customFormat="1" ht="12.75" hidden="1" outlineLevel="1">
      <c r="A90" s="130" t="s">
        <v>443</v>
      </c>
      <c r="B90" s="195"/>
      <c r="C90" s="195"/>
      <c r="D90" s="195"/>
      <c r="E90" s="195"/>
      <c r="F90" s="195"/>
      <c r="G90" s="195"/>
      <c r="H90" s="195">
        <f t="shared" si="18"/>
        <v>0</v>
      </c>
    </row>
    <row r="91" spans="1:8" s="58" customFormat="1" ht="12.75" hidden="1" outlineLevel="1">
      <c r="A91" s="130" t="s">
        <v>39</v>
      </c>
      <c r="B91" s="195"/>
      <c r="C91" s="195"/>
      <c r="D91" s="195"/>
      <c r="E91" s="195"/>
      <c r="F91" s="195"/>
      <c r="G91" s="195"/>
      <c r="H91" s="195">
        <f t="shared" si="18"/>
        <v>0</v>
      </c>
    </row>
    <row r="92" spans="1:8" s="52" customFormat="1" ht="13.5" outlineLevel="1" thickBot="1">
      <c r="A92" s="78" t="s">
        <v>801</v>
      </c>
      <c r="B92" s="203">
        <f aca="true" t="shared" si="24" ref="B92:G92">B82+B83-B87</f>
        <v>0</v>
      </c>
      <c r="C92" s="203">
        <f t="shared" si="24"/>
        <v>212197</v>
      </c>
      <c r="D92" s="203">
        <f t="shared" si="24"/>
        <v>599715</v>
      </c>
      <c r="E92" s="203">
        <f t="shared" si="24"/>
        <v>199211</v>
      </c>
      <c r="F92" s="203">
        <f t="shared" si="24"/>
        <v>70116</v>
      </c>
      <c r="G92" s="203">
        <f t="shared" si="24"/>
        <v>0</v>
      </c>
      <c r="H92" s="203">
        <f t="shared" si="18"/>
        <v>1081239</v>
      </c>
    </row>
    <row r="93" spans="1:8" s="52" customFormat="1" ht="11.25" customHeight="1" hidden="1" outlineLevel="1" thickTop="1">
      <c r="A93" s="78" t="str">
        <f>CONCATENATE("Odpisy aktualizujące na dzień"," ",'Dane podstawowe'!$B$7)</f>
        <v>Odpisy aktualizujące na dzień 01.01.2022 - 31.12.2022</v>
      </c>
      <c r="B93" s="202"/>
      <c r="C93" s="202"/>
      <c r="D93" s="202"/>
      <c r="E93" s="202"/>
      <c r="F93" s="202"/>
      <c r="G93" s="202"/>
      <c r="H93" s="202">
        <f t="shared" si="18"/>
        <v>0</v>
      </c>
    </row>
    <row r="94" spans="1:8" s="52" customFormat="1" ht="12.75" customHeight="1" hidden="1" outlineLevel="1">
      <c r="A94" s="267" t="s">
        <v>238</v>
      </c>
      <c r="B94" s="265">
        <f aca="true" t="shared" si="25" ref="B94:G94">SUM(B95:B96)</f>
        <v>0</v>
      </c>
      <c r="C94" s="265">
        <f t="shared" si="25"/>
        <v>0</v>
      </c>
      <c r="D94" s="265">
        <f t="shared" si="25"/>
        <v>0</v>
      </c>
      <c r="E94" s="265">
        <f t="shared" si="25"/>
        <v>0</v>
      </c>
      <c r="F94" s="265">
        <f t="shared" si="25"/>
        <v>0</v>
      </c>
      <c r="G94" s="268">
        <f t="shared" si="25"/>
        <v>0</v>
      </c>
      <c r="H94" s="268">
        <f t="shared" si="18"/>
        <v>0</v>
      </c>
    </row>
    <row r="95" spans="1:8" s="58" customFormat="1" ht="11.25" customHeight="1" hidden="1" outlineLevel="1">
      <c r="A95" s="130" t="s">
        <v>449</v>
      </c>
      <c r="B95" s="253"/>
      <c r="C95" s="253"/>
      <c r="D95" s="253"/>
      <c r="E95" s="253"/>
      <c r="F95" s="253"/>
      <c r="G95" s="253"/>
      <c r="H95" s="253">
        <f t="shared" si="18"/>
        <v>0</v>
      </c>
    </row>
    <row r="96" spans="1:8" s="58" customFormat="1" ht="11.25" customHeight="1" hidden="1" outlineLevel="1">
      <c r="A96" s="130" t="s">
        <v>39</v>
      </c>
      <c r="B96" s="253"/>
      <c r="C96" s="253"/>
      <c r="D96" s="253"/>
      <c r="E96" s="253"/>
      <c r="F96" s="253"/>
      <c r="G96" s="253"/>
      <c r="H96" s="253">
        <f t="shared" si="18"/>
        <v>0</v>
      </c>
    </row>
    <row r="97" spans="1:8" s="52" customFormat="1" ht="12.75" customHeight="1" hidden="1" outlineLevel="1">
      <c r="A97" s="267" t="s">
        <v>237</v>
      </c>
      <c r="B97" s="265">
        <f aca="true" t="shared" si="26" ref="B97:G97">SUM(B98:B100)</f>
        <v>0</v>
      </c>
      <c r="C97" s="265">
        <f t="shared" si="26"/>
        <v>0</v>
      </c>
      <c r="D97" s="265">
        <f t="shared" si="26"/>
        <v>0</v>
      </c>
      <c r="E97" s="265">
        <f t="shared" si="26"/>
        <v>0</v>
      </c>
      <c r="F97" s="265">
        <f t="shared" si="26"/>
        <v>0</v>
      </c>
      <c r="G97" s="268">
        <f t="shared" si="26"/>
        <v>0</v>
      </c>
      <c r="H97" s="268">
        <f t="shared" si="18"/>
        <v>0</v>
      </c>
    </row>
    <row r="98" spans="1:8" s="58" customFormat="1" ht="12.75" hidden="1" outlineLevel="1">
      <c r="A98" s="130" t="s">
        <v>450</v>
      </c>
      <c r="B98" s="195"/>
      <c r="C98" s="195"/>
      <c r="D98" s="195"/>
      <c r="E98" s="195"/>
      <c r="F98" s="195"/>
      <c r="G98" s="195"/>
      <c r="H98" s="195">
        <f t="shared" si="18"/>
        <v>0</v>
      </c>
    </row>
    <row r="99" spans="1:8" s="58" customFormat="1" ht="12.75" hidden="1" outlineLevel="1">
      <c r="A99" s="130" t="s">
        <v>451</v>
      </c>
      <c r="B99" s="195"/>
      <c r="C99" s="195"/>
      <c r="D99" s="195"/>
      <c r="E99" s="195"/>
      <c r="F99" s="195"/>
      <c r="G99" s="195"/>
      <c r="H99" s="195">
        <f t="shared" si="18"/>
        <v>0</v>
      </c>
    </row>
    <row r="100" spans="1:8" s="58" customFormat="1" ht="12.75" hidden="1" outlineLevel="1">
      <c r="A100" s="130" t="s">
        <v>39</v>
      </c>
      <c r="B100" s="195"/>
      <c r="C100" s="195"/>
      <c r="D100" s="195"/>
      <c r="E100" s="195"/>
      <c r="F100" s="195"/>
      <c r="G100" s="195"/>
      <c r="H100" s="195">
        <f t="shared" si="18"/>
        <v>0</v>
      </c>
    </row>
    <row r="101" spans="1:8" s="52" customFormat="1" ht="13.5" hidden="1" outlineLevel="1" thickBot="1">
      <c r="A101" s="78" t="str">
        <f>CONCATENATE("Odpisy aktualizujące na dzień"," ",'Dane podstawowe'!$B$9)</f>
        <v>Odpisy aktualizujące na dzień 44926</v>
      </c>
      <c r="B101" s="203">
        <f aca="true" t="shared" si="27" ref="B101:G101">B93+B94-B97</f>
        <v>0</v>
      </c>
      <c r="C101" s="203">
        <f t="shared" si="27"/>
        <v>0</v>
      </c>
      <c r="D101" s="203">
        <f t="shared" si="27"/>
        <v>0</v>
      </c>
      <c r="E101" s="203">
        <f t="shared" si="27"/>
        <v>0</v>
      </c>
      <c r="F101" s="203">
        <f t="shared" si="27"/>
        <v>0</v>
      </c>
      <c r="G101" s="203">
        <f t="shared" si="27"/>
        <v>0</v>
      </c>
      <c r="H101" s="203">
        <f t="shared" si="18"/>
        <v>0</v>
      </c>
    </row>
    <row r="102" spans="1:8" s="101" customFormat="1" ht="14.25" outlineLevel="1" thickBot="1" thickTop="1">
      <c r="A102" s="129" t="s">
        <v>802</v>
      </c>
      <c r="B102" s="201">
        <f aca="true" t="shared" si="28" ref="B102:H102">B79-B92-B101</f>
        <v>0</v>
      </c>
      <c r="C102" s="201">
        <f t="shared" si="28"/>
        <v>216361</v>
      </c>
      <c r="D102" s="201">
        <f t="shared" si="28"/>
        <v>166078</v>
      </c>
      <c r="E102" s="201">
        <f t="shared" si="28"/>
        <v>82114</v>
      </c>
      <c r="F102" s="201">
        <f t="shared" si="28"/>
        <v>6765</v>
      </c>
      <c r="G102" s="201">
        <f t="shared" si="28"/>
        <v>0</v>
      </c>
      <c r="H102" s="201">
        <f t="shared" si="28"/>
        <v>471318</v>
      </c>
    </row>
    <row r="103" ht="12" thickTop="1"/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9" r:id="rId1"/>
  <rowBreaks count="1" manualBreakCount="1">
    <brk id="56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92"/>
  <sheetViews>
    <sheetView showGridLines="0" view="pageBreakPreview" zoomScale="124" zoomScaleSheetLayoutView="124" zoomScalePageLayoutView="0" workbookViewId="0" topLeftCell="A46">
      <selection activeCell="A48" sqref="A48:I84"/>
    </sheetView>
  </sheetViews>
  <sheetFormatPr defaultColWidth="9.28125" defaultRowHeight="12.75" outlineLevelRow="1"/>
  <cols>
    <col min="1" max="1" width="41.28125" style="271" customWidth="1"/>
    <col min="2" max="3" width="13.00390625" style="271" customWidth="1"/>
    <col min="4" max="4" width="13.00390625" style="271" hidden="1" customWidth="1"/>
    <col min="5" max="5" width="14.421875" style="271" hidden="1" customWidth="1"/>
    <col min="6" max="6" width="13.00390625" style="271" hidden="1" customWidth="1"/>
    <col min="7" max="7" width="20.7109375" style="271" customWidth="1"/>
    <col min="8" max="8" width="12.140625" style="271" customWidth="1"/>
    <col min="9" max="9" width="11.28125" style="271" customWidth="1"/>
    <col min="10" max="16384" width="9.28125" style="271" customWidth="1"/>
  </cols>
  <sheetData>
    <row r="1" ht="11.25">
      <c r="A1" s="277"/>
    </row>
    <row r="2" s="478" customFormat="1" ht="12.75">
      <c r="A2" s="467" t="s">
        <v>539</v>
      </c>
    </row>
    <row r="3" s="279" customFormat="1" ht="11.25">
      <c r="A3" s="278"/>
    </row>
    <row r="4" s="279" customFormat="1" ht="11.25">
      <c r="A4" s="72" t="s">
        <v>897</v>
      </c>
    </row>
    <row r="5" s="279" customFormat="1" ht="11.25">
      <c r="A5" s="278"/>
    </row>
    <row r="6" spans="1:9" s="282" customFormat="1" ht="33.75" outlineLevel="1">
      <c r="A6" s="219" t="s">
        <v>330</v>
      </c>
      <c r="B6" s="150" t="s">
        <v>396</v>
      </c>
      <c r="C6" s="96" t="s">
        <v>629</v>
      </c>
      <c r="D6" s="150" t="s">
        <v>397</v>
      </c>
      <c r="E6" s="96" t="s">
        <v>398</v>
      </c>
      <c r="F6" s="281" t="s">
        <v>64</v>
      </c>
      <c r="G6" s="570" t="s">
        <v>561</v>
      </c>
      <c r="H6" s="150" t="s">
        <v>399</v>
      </c>
      <c r="I6" s="281" t="s">
        <v>378</v>
      </c>
    </row>
    <row r="7" spans="1:9" s="279" customFormat="1" ht="11.25" outlineLevel="1">
      <c r="A7" s="588" t="s">
        <v>888</v>
      </c>
      <c r="B7" s="202">
        <f aca="true" t="shared" si="0" ref="B7:H7">B60</f>
        <v>2630126</v>
      </c>
      <c r="C7" s="202">
        <f t="shared" si="0"/>
        <v>940272</v>
      </c>
      <c r="D7" s="202">
        <f t="shared" si="0"/>
        <v>0</v>
      </c>
      <c r="E7" s="202">
        <f t="shared" si="0"/>
        <v>0</v>
      </c>
      <c r="F7" s="202">
        <f t="shared" si="0"/>
        <v>0</v>
      </c>
      <c r="G7" s="202">
        <f t="shared" si="0"/>
        <v>7860145</v>
      </c>
      <c r="H7" s="202">
        <f t="shared" si="0"/>
        <v>66277</v>
      </c>
      <c r="I7" s="283">
        <f>SUM(B7:H7)</f>
        <v>11496820</v>
      </c>
    </row>
    <row r="8" spans="1:9" s="286" customFormat="1" ht="11.25" outlineLevel="1">
      <c r="A8" s="284" t="s">
        <v>238</v>
      </c>
      <c r="B8" s="265">
        <f aca="true" t="shared" si="1" ref="B8:H8">SUM(B9:B12)</f>
        <v>0</v>
      </c>
      <c r="C8" s="285">
        <f t="shared" si="1"/>
        <v>980406</v>
      </c>
      <c r="D8" s="285">
        <f t="shared" si="1"/>
        <v>0</v>
      </c>
      <c r="E8" s="285">
        <f t="shared" si="1"/>
        <v>0</v>
      </c>
      <c r="F8" s="285">
        <f t="shared" si="1"/>
        <v>0</v>
      </c>
      <c r="G8" s="265">
        <f t="shared" si="1"/>
        <v>66277</v>
      </c>
      <c r="H8" s="285">
        <f t="shared" si="1"/>
        <v>0</v>
      </c>
      <c r="I8" s="285">
        <f aca="true" t="shared" si="2" ref="I8:I42">SUM(B8:H8)</f>
        <v>1046683</v>
      </c>
    </row>
    <row r="9" spans="1:9" s="279" customFormat="1" ht="11.25" hidden="1" outlineLevel="1">
      <c r="A9" s="287" t="s">
        <v>477</v>
      </c>
      <c r="B9" s="195">
        <v>0</v>
      </c>
      <c r="C9" s="288">
        <v>0</v>
      </c>
      <c r="D9" s="288">
        <v>0</v>
      </c>
      <c r="E9" s="288">
        <v>0</v>
      </c>
      <c r="F9" s="288">
        <v>0</v>
      </c>
      <c r="G9" s="195">
        <v>0</v>
      </c>
      <c r="H9" s="288">
        <v>0</v>
      </c>
      <c r="I9" s="288">
        <f t="shared" si="2"/>
        <v>0</v>
      </c>
    </row>
    <row r="10" spans="1:9" s="279" customFormat="1" ht="22.5" outlineLevel="1">
      <c r="A10" s="500" t="s">
        <v>540</v>
      </c>
      <c r="B10" s="195">
        <v>0</v>
      </c>
      <c r="C10" s="288">
        <v>980406</v>
      </c>
      <c r="D10" s="288">
        <v>0</v>
      </c>
      <c r="E10" s="288">
        <v>0</v>
      </c>
      <c r="F10" s="288">
        <v>0</v>
      </c>
      <c r="G10" s="195">
        <v>0</v>
      </c>
      <c r="H10" s="288">
        <v>0</v>
      </c>
      <c r="I10" s="288">
        <f t="shared" si="2"/>
        <v>980406</v>
      </c>
    </row>
    <row r="11" spans="1:9" s="279" customFormat="1" ht="11.25" hidden="1" outlineLevel="1">
      <c r="A11" s="287" t="s">
        <v>11</v>
      </c>
      <c r="B11" s="195"/>
      <c r="C11" s="288"/>
      <c r="D11" s="288"/>
      <c r="E11" s="288"/>
      <c r="F11" s="288"/>
      <c r="G11" s="195"/>
      <c r="H11" s="288"/>
      <c r="I11" s="288">
        <f t="shared" si="2"/>
        <v>0</v>
      </c>
    </row>
    <row r="12" spans="1:9" s="279" customFormat="1" ht="11.25" outlineLevel="1">
      <c r="A12" s="287" t="s">
        <v>39</v>
      </c>
      <c r="B12" s="195">
        <v>0</v>
      </c>
      <c r="C12" s="288">
        <v>0</v>
      </c>
      <c r="D12" s="288"/>
      <c r="E12" s="288"/>
      <c r="F12" s="288"/>
      <c r="G12" s="195">
        <v>66277</v>
      </c>
      <c r="H12" s="288">
        <v>0</v>
      </c>
      <c r="I12" s="288">
        <f t="shared" si="2"/>
        <v>66277</v>
      </c>
    </row>
    <row r="13" spans="1:9" s="286" customFormat="1" ht="11.25" outlineLevel="1">
      <c r="A13" s="284" t="s">
        <v>237</v>
      </c>
      <c r="B13" s="265">
        <f aca="true" t="shared" si="3" ref="B13:H13">SUM(B14:B17)</f>
        <v>0</v>
      </c>
      <c r="C13" s="285">
        <f t="shared" si="3"/>
        <v>0</v>
      </c>
      <c r="D13" s="285">
        <f t="shared" si="3"/>
        <v>0</v>
      </c>
      <c r="E13" s="285">
        <f t="shared" si="3"/>
        <v>0</v>
      </c>
      <c r="F13" s="285">
        <f t="shared" si="3"/>
        <v>0</v>
      </c>
      <c r="G13" s="265">
        <f t="shared" si="3"/>
        <v>0</v>
      </c>
      <c r="H13" s="285">
        <f t="shared" si="3"/>
        <v>66277</v>
      </c>
      <c r="I13" s="285">
        <f t="shared" si="2"/>
        <v>66277</v>
      </c>
    </row>
    <row r="14" spans="1:9" s="279" customFormat="1" ht="11.25" hidden="1" outlineLevel="1">
      <c r="A14" s="363" t="s">
        <v>631</v>
      </c>
      <c r="B14" s="195">
        <v>0</v>
      </c>
      <c r="C14" s="288">
        <v>0</v>
      </c>
      <c r="D14" s="288"/>
      <c r="E14" s="288"/>
      <c r="F14" s="288"/>
      <c r="G14" s="195">
        <v>0</v>
      </c>
      <c r="H14" s="288">
        <v>0</v>
      </c>
      <c r="I14" s="288">
        <f t="shared" si="2"/>
        <v>0</v>
      </c>
    </row>
    <row r="15" spans="1:9" s="279" customFormat="1" ht="11.25" hidden="1" outlineLevel="1">
      <c r="A15" s="591" t="s">
        <v>632</v>
      </c>
      <c r="B15" s="195">
        <v>0</v>
      </c>
      <c r="C15" s="288">
        <v>0</v>
      </c>
      <c r="D15" s="288">
        <v>0</v>
      </c>
      <c r="E15" s="288">
        <v>0</v>
      </c>
      <c r="F15" s="288">
        <v>0</v>
      </c>
      <c r="G15" s="195">
        <v>0</v>
      </c>
      <c r="H15" s="288">
        <v>0</v>
      </c>
      <c r="I15" s="288">
        <f t="shared" si="2"/>
        <v>0</v>
      </c>
    </row>
    <row r="16" spans="1:9" s="279" customFormat="1" ht="11.25" hidden="1" outlineLevel="1">
      <c r="A16" s="592" t="s">
        <v>630</v>
      </c>
      <c r="B16" s="195"/>
      <c r="C16" s="288">
        <v>0</v>
      </c>
      <c r="D16" s="288"/>
      <c r="E16" s="288"/>
      <c r="F16" s="288"/>
      <c r="G16" s="195"/>
      <c r="H16" s="288"/>
      <c r="I16" s="288">
        <f t="shared" si="2"/>
        <v>0</v>
      </c>
    </row>
    <row r="17" spans="1:9" s="279" customFormat="1" ht="11.25" outlineLevel="1">
      <c r="A17" s="287" t="s">
        <v>39</v>
      </c>
      <c r="B17" s="195">
        <v>0</v>
      </c>
      <c r="C17" s="288">
        <v>0</v>
      </c>
      <c r="D17" s="288"/>
      <c r="E17" s="288"/>
      <c r="F17" s="288"/>
      <c r="G17" s="195">
        <v>0</v>
      </c>
      <c r="H17" s="288">
        <v>66277</v>
      </c>
      <c r="I17" s="288">
        <f t="shared" si="2"/>
        <v>66277</v>
      </c>
    </row>
    <row r="18" spans="1:9" s="279" customFormat="1" ht="12" outlineLevel="1" thickBot="1">
      <c r="A18" s="129" t="s">
        <v>890</v>
      </c>
      <c r="B18" s="203">
        <f aca="true" t="shared" si="4" ref="B18:H18">B7+B8-B13</f>
        <v>2630126</v>
      </c>
      <c r="C18" s="289">
        <f t="shared" si="4"/>
        <v>1920678</v>
      </c>
      <c r="D18" s="289">
        <f t="shared" si="4"/>
        <v>0</v>
      </c>
      <c r="E18" s="289">
        <f t="shared" si="4"/>
        <v>0</v>
      </c>
      <c r="F18" s="289">
        <f t="shared" si="4"/>
        <v>0</v>
      </c>
      <c r="G18" s="203">
        <f t="shared" si="4"/>
        <v>7926422</v>
      </c>
      <c r="H18" s="289">
        <f t="shared" si="4"/>
        <v>0</v>
      </c>
      <c r="I18" s="289">
        <f t="shared" si="2"/>
        <v>12477226</v>
      </c>
    </row>
    <row r="19" spans="1:9" s="279" customFormat="1" ht="12" outlineLevel="1" thickTop="1">
      <c r="A19" s="129" t="s">
        <v>898</v>
      </c>
      <c r="B19" s="462">
        <f>B64</f>
        <v>607049</v>
      </c>
      <c r="C19" s="462">
        <f aca="true" t="shared" si="5" ref="C19:H19">C64</f>
        <v>449915</v>
      </c>
      <c r="D19" s="462">
        <f t="shared" si="5"/>
        <v>0</v>
      </c>
      <c r="E19" s="462">
        <f t="shared" si="5"/>
        <v>0</v>
      </c>
      <c r="F19" s="462">
        <f t="shared" si="5"/>
        <v>0</v>
      </c>
      <c r="G19" s="462">
        <f t="shared" si="5"/>
        <v>150000</v>
      </c>
      <c r="H19" s="462">
        <f t="shared" si="5"/>
        <v>0</v>
      </c>
      <c r="I19" s="600">
        <f t="shared" si="2"/>
        <v>1206964</v>
      </c>
    </row>
    <row r="20" spans="1:9" s="279" customFormat="1" ht="11.25" outlineLevel="1">
      <c r="A20" s="129" t="s">
        <v>653</v>
      </c>
      <c r="B20" s="462">
        <v>0</v>
      </c>
      <c r="C20" s="599">
        <v>0</v>
      </c>
      <c r="D20" s="599"/>
      <c r="E20" s="599"/>
      <c r="F20" s="599"/>
      <c r="G20" s="462">
        <v>0</v>
      </c>
      <c r="H20" s="599">
        <v>0</v>
      </c>
      <c r="I20" s="290">
        <f t="shared" si="2"/>
        <v>0</v>
      </c>
    </row>
    <row r="21" spans="1:9" s="279" customFormat="1" ht="11.25" outlineLevel="1">
      <c r="A21" s="129" t="s">
        <v>437</v>
      </c>
      <c r="B21" s="462">
        <v>0</v>
      </c>
      <c r="C21" s="599">
        <v>0</v>
      </c>
      <c r="D21" s="599"/>
      <c r="E21" s="599"/>
      <c r="F21" s="599"/>
      <c r="G21" s="462">
        <v>0</v>
      </c>
      <c r="H21" s="599">
        <v>0</v>
      </c>
      <c r="I21" s="290">
        <f t="shared" si="2"/>
        <v>0</v>
      </c>
    </row>
    <row r="22" spans="1:9" s="279" customFormat="1" ht="12" outlineLevel="1" thickBot="1">
      <c r="A22" s="129" t="s">
        <v>899</v>
      </c>
      <c r="B22" s="203">
        <f>B19+B20-B21</f>
        <v>607049</v>
      </c>
      <c r="C22" s="203">
        <f aca="true" t="shared" si="6" ref="C22:I22">C19+C20-C21</f>
        <v>449915</v>
      </c>
      <c r="D22" s="203">
        <f t="shared" si="6"/>
        <v>0</v>
      </c>
      <c r="E22" s="203">
        <f t="shared" si="6"/>
        <v>0</v>
      </c>
      <c r="F22" s="203">
        <f t="shared" si="6"/>
        <v>0</v>
      </c>
      <c r="G22" s="203">
        <f t="shared" si="6"/>
        <v>150000</v>
      </c>
      <c r="H22" s="203">
        <f t="shared" si="6"/>
        <v>0</v>
      </c>
      <c r="I22" s="203">
        <f t="shared" si="6"/>
        <v>1206964</v>
      </c>
    </row>
    <row r="23" spans="1:9" s="279" customFormat="1" ht="11.25" hidden="1" outlineLevel="1">
      <c r="A23" s="129"/>
      <c r="B23" s="601"/>
      <c r="C23" s="602"/>
      <c r="D23" s="602"/>
      <c r="E23" s="602"/>
      <c r="F23" s="602"/>
      <c r="G23" s="601"/>
      <c r="H23" s="599"/>
      <c r="I23" s="599"/>
    </row>
    <row r="24" spans="1:9" s="279" customFormat="1" ht="11.25" hidden="1" outlineLevel="1">
      <c r="A24" s="129"/>
      <c r="B24" s="462"/>
      <c r="C24" s="599"/>
      <c r="D24" s="599"/>
      <c r="E24" s="599"/>
      <c r="F24" s="599"/>
      <c r="G24" s="462"/>
      <c r="H24" s="599"/>
      <c r="I24" s="599"/>
    </row>
    <row r="25" spans="1:9" s="279" customFormat="1" ht="12" outlineLevel="1" thickTop="1">
      <c r="A25" s="78" t="s">
        <v>891</v>
      </c>
      <c r="B25" s="123">
        <f>B74</f>
        <v>1508033</v>
      </c>
      <c r="C25" s="123">
        <f aca="true" t="shared" si="7" ref="C25:H25">C74</f>
        <v>0</v>
      </c>
      <c r="D25" s="123">
        <f t="shared" si="7"/>
        <v>0</v>
      </c>
      <c r="E25" s="123">
        <f t="shared" si="7"/>
        <v>0</v>
      </c>
      <c r="F25" s="123">
        <f t="shared" si="7"/>
        <v>0</v>
      </c>
      <c r="G25" s="123">
        <f t="shared" si="7"/>
        <v>2118324</v>
      </c>
      <c r="H25" s="123">
        <f t="shared" si="7"/>
        <v>0</v>
      </c>
      <c r="I25" s="283">
        <f t="shared" si="2"/>
        <v>3626357</v>
      </c>
    </row>
    <row r="26" spans="1:9" s="286" customFormat="1" ht="11.25" outlineLevel="1">
      <c r="A26" s="284" t="s">
        <v>238</v>
      </c>
      <c r="B26" s="265">
        <f aca="true" t="shared" si="8" ref="B26:H26">SUM(B27:B29)</f>
        <v>207532</v>
      </c>
      <c r="C26" s="285">
        <f t="shared" si="8"/>
        <v>0</v>
      </c>
      <c r="D26" s="285">
        <f t="shared" si="8"/>
        <v>0</v>
      </c>
      <c r="E26" s="285">
        <f t="shared" si="8"/>
        <v>0</v>
      </c>
      <c r="F26" s="285">
        <f t="shared" si="8"/>
        <v>0</v>
      </c>
      <c r="G26" s="265">
        <f t="shared" si="8"/>
        <v>8874</v>
      </c>
      <c r="H26" s="285">
        <f t="shared" si="8"/>
        <v>0</v>
      </c>
      <c r="I26" s="285">
        <f t="shared" si="2"/>
        <v>216406</v>
      </c>
    </row>
    <row r="27" spans="1:9" s="279" customFormat="1" ht="11.25" outlineLevel="1">
      <c r="A27" s="287" t="s">
        <v>447</v>
      </c>
      <c r="B27" s="195">
        <v>207532</v>
      </c>
      <c r="C27" s="288">
        <v>0</v>
      </c>
      <c r="D27" s="288">
        <v>0</v>
      </c>
      <c r="E27" s="288">
        <v>0</v>
      </c>
      <c r="F27" s="288">
        <v>0</v>
      </c>
      <c r="G27" s="195">
        <v>8874</v>
      </c>
      <c r="H27" s="288">
        <v>0</v>
      </c>
      <c r="I27" s="288">
        <f t="shared" si="2"/>
        <v>216406</v>
      </c>
    </row>
    <row r="28" spans="1:9" s="279" customFormat="1" ht="11.25" hidden="1" outlineLevel="1">
      <c r="A28" s="287" t="s">
        <v>443</v>
      </c>
      <c r="B28" s="288"/>
      <c r="C28" s="288"/>
      <c r="D28" s="288"/>
      <c r="E28" s="288"/>
      <c r="F28" s="288"/>
      <c r="G28" s="195"/>
      <c r="H28" s="288"/>
      <c r="I28" s="288">
        <f t="shared" si="2"/>
        <v>0</v>
      </c>
    </row>
    <row r="29" spans="1:9" s="279" customFormat="1" ht="11.25" hidden="1" outlineLevel="1">
      <c r="A29" s="287" t="s">
        <v>39</v>
      </c>
      <c r="B29" s="288"/>
      <c r="C29" s="288"/>
      <c r="D29" s="288"/>
      <c r="E29" s="288"/>
      <c r="F29" s="288"/>
      <c r="G29" s="195"/>
      <c r="H29" s="288"/>
      <c r="I29" s="288">
        <f t="shared" si="2"/>
        <v>0</v>
      </c>
    </row>
    <row r="30" spans="1:9" s="286" customFormat="1" ht="11.25" outlineLevel="1">
      <c r="A30" s="284" t="s">
        <v>237</v>
      </c>
      <c r="B30" s="285">
        <f aca="true" t="shared" si="9" ref="B30:H30">SUM(B31:B32)</f>
        <v>0</v>
      </c>
      <c r="C30" s="285">
        <f t="shared" si="9"/>
        <v>0</v>
      </c>
      <c r="D30" s="285">
        <f t="shared" si="9"/>
        <v>0</v>
      </c>
      <c r="E30" s="285">
        <f t="shared" si="9"/>
        <v>0</v>
      </c>
      <c r="F30" s="285">
        <f t="shared" si="9"/>
        <v>0</v>
      </c>
      <c r="G30" s="265">
        <f t="shared" si="9"/>
        <v>0</v>
      </c>
      <c r="H30" s="285">
        <f t="shared" si="9"/>
        <v>0</v>
      </c>
      <c r="I30" s="285">
        <f t="shared" si="2"/>
        <v>0</v>
      </c>
    </row>
    <row r="31" spans="1:9" s="279" customFormat="1" ht="11.25" hidden="1" outlineLevel="1">
      <c r="A31" s="287" t="s">
        <v>445</v>
      </c>
      <c r="B31" s="288">
        <v>0</v>
      </c>
      <c r="C31" s="288">
        <v>0</v>
      </c>
      <c r="D31" s="288">
        <v>0</v>
      </c>
      <c r="E31" s="288">
        <v>0</v>
      </c>
      <c r="F31" s="288">
        <v>0</v>
      </c>
      <c r="G31" s="195">
        <v>0</v>
      </c>
      <c r="H31" s="288">
        <v>0</v>
      </c>
      <c r="I31" s="288">
        <f t="shared" si="2"/>
        <v>0</v>
      </c>
    </row>
    <row r="32" spans="1:9" s="279" customFormat="1" ht="11.25" hidden="1" outlineLevel="1">
      <c r="A32" s="287" t="s">
        <v>39</v>
      </c>
      <c r="B32" s="288"/>
      <c r="C32" s="288"/>
      <c r="D32" s="288"/>
      <c r="E32" s="288"/>
      <c r="F32" s="288"/>
      <c r="G32" s="288"/>
      <c r="H32" s="288"/>
      <c r="I32" s="288">
        <f t="shared" si="2"/>
        <v>0</v>
      </c>
    </row>
    <row r="33" spans="1:9" s="279" customFormat="1" ht="12" outlineLevel="1" thickBot="1">
      <c r="A33" s="78" t="s">
        <v>893</v>
      </c>
      <c r="B33" s="289">
        <f aca="true" t="shared" si="10" ref="B33:H33">B25+B26-B30</f>
        <v>1715565</v>
      </c>
      <c r="C33" s="289">
        <f t="shared" si="10"/>
        <v>0</v>
      </c>
      <c r="D33" s="289">
        <f t="shared" si="10"/>
        <v>0</v>
      </c>
      <c r="E33" s="289">
        <f t="shared" si="10"/>
        <v>0</v>
      </c>
      <c r="F33" s="289">
        <f t="shared" si="10"/>
        <v>0</v>
      </c>
      <c r="G33" s="289">
        <f t="shared" si="10"/>
        <v>2127198</v>
      </c>
      <c r="H33" s="289">
        <f t="shared" si="10"/>
        <v>0</v>
      </c>
      <c r="I33" s="289">
        <f t="shared" si="2"/>
        <v>3842763</v>
      </c>
    </row>
    <row r="34" spans="1:9" s="279" customFormat="1" ht="12" hidden="1" outlineLevel="1" thickTop="1">
      <c r="A34" s="78" t="str">
        <f>CONCATENATE("Odpisy aktualizujące na dzień"," ",'Dane podstawowe'!$B$8)</f>
        <v>Odpisy aktualizujące na dzień 44562</v>
      </c>
      <c r="B34" s="283">
        <f aca="true" t="shared" si="11" ref="B34:G34">B75</f>
        <v>0</v>
      </c>
      <c r="C34" s="283">
        <f t="shared" si="11"/>
        <v>0</v>
      </c>
      <c r="D34" s="283">
        <f t="shared" si="11"/>
        <v>0</v>
      </c>
      <c r="E34" s="283">
        <f t="shared" si="11"/>
        <v>0</v>
      </c>
      <c r="F34" s="283">
        <f t="shared" si="11"/>
        <v>0</v>
      </c>
      <c r="G34" s="283">
        <f t="shared" si="11"/>
        <v>0</v>
      </c>
      <c r="H34" s="283">
        <f>H75</f>
        <v>0</v>
      </c>
      <c r="I34" s="283">
        <f t="shared" si="2"/>
        <v>0</v>
      </c>
    </row>
    <row r="35" spans="1:9" s="286" customFormat="1" ht="11.25" hidden="1" outlineLevel="1">
      <c r="A35" s="267" t="s">
        <v>238</v>
      </c>
      <c r="B35" s="285">
        <f aca="true" t="shared" si="12" ref="B35:G35">SUM(B36:B37)</f>
        <v>0</v>
      </c>
      <c r="C35" s="285">
        <f t="shared" si="12"/>
        <v>0</v>
      </c>
      <c r="D35" s="285">
        <f t="shared" si="12"/>
        <v>0</v>
      </c>
      <c r="E35" s="285">
        <f t="shared" si="12"/>
        <v>0</v>
      </c>
      <c r="F35" s="285">
        <f t="shared" si="12"/>
        <v>0</v>
      </c>
      <c r="G35" s="285">
        <f t="shared" si="12"/>
        <v>0</v>
      </c>
      <c r="H35" s="285">
        <f>SUM(H36:H37)</f>
        <v>0</v>
      </c>
      <c r="I35" s="285">
        <f t="shared" si="2"/>
        <v>0</v>
      </c>
    </row>
    <row r="36" spans="1:9" s="279" customFormat="1" ht="11.25" hidden="1" outlineLevel="1">
      <c r="A36" s="130" t="s">
        <v>449</v>
      </c>
      <c r="B36" s="288"/>
      <c r="C36" s="288"/>
      <c r="D36" s="288"/>
      <c r="E36" s="288"/>
      <c r="F36" s="288"/>
      <c r="G36" s="288"/>
      <c r="H36" s="288"/>
      <c r="I36" s="288">
        <f t="shared" si="2"/>
        <v>0</v>
      </c>
    </row>
    <row r="37" spans="1:9" s="279" customFormat="1" ht="11.25" hidden="1" outlineLevel="1">
      <c r="A37" s="130" t="s">
        <v>39</v>
      </c>
      <c r="B37" s="288"/>
      <c r="C37" s="288"/>
      <c r="D37" s="288"/>
      <c r="E37" s="288"/>
      <c r="F37" s="288"/>
      <c r="G37" s="288"/>
      <c r="H37" s="288"/>
      <c r="I37" s="288">
        <f t="shared" si="2"/>
        <v>0</v>
      </c>
    </row>
    <row r="38" spans="1:9" s="286" customFormat="1" ht="11.25" hidden="1" outlineLevel="1">
      <c r="A38" s="267" t="s">
        <v>237</v>
      </c>
      <c r="B38" s="285">
        <f aca="true" t="shared" si="13" ref="B38:G38">SUM(B39:B41)</f>
        <v>0</v>
      </c>
      <c r="C38" s="285">
        <f t="shared" si="13"/>
        <v>0</v>
      </c>
      <c r="D38" s="285">
        <f t="shared" si="13"/>
        <v>0</v>
      </c>
      <c r="E38" s="285">
        <f t="shared" si="13"/>
        <v>0</v>
      </c>
      <c r="F38" s="285">
        <f t="shared" si="13"/>
        <v>0</v>
      </c>
      <c r="G38" s="285">
        <f t="shared" si="13"/>
        <v>0</v>
      </c>
      <c r="H38" s="285">
        <f>SUM(H39:H41)</f>
        <v>0</v>
      </c>
      <c r="I38" s="285">
        <f t="shared" si="2"/>
        <v>0</v>
      </c>
    </row>
    <row r="39" spans="1:9" s="279" customFormat="1" ht="11.25" hidden="1" outlineLevel="1">
      <c r="A39" s="130" t="s">
        <v>450</v>
      </c>
      <c r="B39" s="288"/>
      <c r="C39" s="288"/>
      <c r="D39" s="288"/>
      <c r="E39" s="288"/>
      <c r="F39" s="288"/>
      <c r="G39" s="288"/>
      <c r="H39" s="288"/>
      <c r="I39" s="288">
        <f t="shared" si="2"/>
        <v>0</v>
      </c>
    </row>
    <row r="40" spans="1:9" s="279" customFormat="1" ht="11.25" hidden="1" outlineLevel="1">
      <c r="A40" s="130" t="s">
        <v>451</v>
      </c>
      <c r="B40" s="288"/>
      <c r="C40" s="288"/>
      <c r="D40" s="288"/>
      <c r="E40" s="288"/>
      <c r="F40" s="288"/>
      <c r="G40" s="288"/>
      <c r="H40" s="288"/>
      <c r="I40" s="288">
        <f t="shared" si="2"/>
        <v>0</v>
      </c>
    </row>
    <row r="41" spans="1:9" s="279" customFormat="1" ht="11.25" hidden="1" outlineLevel="1">
      <c r="A41" s="130" t="s">
        <v>39</v>
      </c>
      <c r="B41" s="288"/>
      <c r="C41" s="288"/>
      <c r="D41" s="288"/>
      <c r="E41" s="288"/>
      <c r="F41" s="288"/>
      <c r="G41" s="288"/>
      <c r="H41" s="288"/>
      <c r="I41" s="288">
        <f t="shared" si="2"/>
        <v>0</v>
      </c>
    </row>
    <row r="42" spans="1:9" s="279" customFormat="1" ht="12" hidden="1" outlineLevel="1" thickBot="1">
      <c r="A42" s="78" t="str">
        <f>CONCATENATE("Odpisy aktualizujące na dzień"," ",'Dane podstawowe'!$B$9)</f>
        <v>Odpisy aktualizujące na dzień 44926</v>
      </c>
      <c r="B42" s="289">
        <f aca="true" t="shared" si="14" ref="B42:H42">B34+B35-B38</f>
        <v>0</v>
      </c>
      <c r="C42" s="289">
        <f t="shared" si="14"/>
        <v>0</v>
      </c>
      <c r="D42" s="289">
        <f t="shared" si="14"/>
        <v>0</v>
      </c>
      <c r="E42" s="289">
        <f t="shared" si="14"/>
        <v>0</v>
      </c>
      <c r="F42" s="289">
        <f t="shared" si="14"/>
        <v>0</v>
      </c>
      <c r="G42" s="289">
        <f t="shared" si="14"/>
        <v>0</v>
      </c>
      <c r="H42" s="289">
        <f t="shared" si="14"/>
        <v>0</v>
      </c>
      <c r="I42" s="289">
        <f t="shared" si="2"/>
        <v>0</v>
      </c>
    </row>
    <row r="43" spans="1:9" s="279" customFormat="1" ht="12.75" outlineLevel="1" thickBot="1" thickTop="1">
      <c r="A43" s="129" t="s">
        <v>894</v>
      </c>
      <c r="B43" s="289">
        <f>B18-B22-B33</f>
        <v>307512</v>
      </c>
      <c r="C43" s="289">
        <f aca="true" t="shared" si="15" ref="C43:I43">C18-C22-C33</f>
        <v>1470763</v>
      </c>
      <c r="D43" s="289">
        <f t="shared" si="15"/>
        <v>0</v>
      </c>
      <c r="E43" s="289">
        <f t="shared" si="15"/>
        <v>0</v>
      </c>
      <c r="F43" s="289">
        <f t="shared" si="15"/>
        <v>0</v>
      </c>
      <c r="G43" s="289">
        <f t="shared" si="15"/>
        <v>5649224</v>
      </c>
      <c r="H43" s="289">
        <f t="shared" si="15"/>
        <v>0</v>
      </c>
      <c r="I43" s="289">
        <f t="shared" si="15"/>
        <v>7427499</v>
      </c>
    </row>
    <row r="44" spans="1:9" s="279" customFormat="1" ht="12" outlineLevel="1" thickTop="1">
      <c r="A44" s="291"/>
      <c r="B44" s="292"/>
      <c r="C44" s="292"/>
      <c r="D44" s="292"/>
      <c r="E44" s="292"/>
      <c r="F44" s="292"/>
      <c r="G44" s="292"/>
      <c r="H44" s="292"/>
      <c r="I44" s="375">
        <f>Aktywa!D5-'NOTA 10 -Wartości niematerialne'!I43</f>
        <v>0</v>
      </c>
    </row>
    <row r="45" spans="1:6" s="279" customFormat="1" ht="11.25">
      <c r="A45" s="293"/>
      <c r="B45" s="294"/>
      <c r="C45" s="294"/>
      <c r="D45" s="294"/>
      <c r="E45" s="295"/>
      <c r="F45" s="295"/>
    </row>
    <row r="46" s="279" customFormat="1" ht="11.25">
      <c r="A46" s="72" t="s">
        <v>803</v>
      </c>
    </row>
    <row r="47" s="279" customFormat="1" ht="11.25">
      <c r="A47" s="280"/>
    </row>
    <row r="48" spans="1:9" s="282" customFormat="1" ht="33.75" outlineLevel="1">
      <c r="A48" s="219" t="s">
        <v>330</v>
      </c>
      <c r="B48" s="150" t="s">
        <v>396</v>
      </c>
      <c r="C48" s="96" t="s">
        <v>629</v>
      </c>
      <c r="D48" s="150" t="s">
        <v>397</v>
      </c>
      <c r="E48" s="96" t="s">
        <v>398</v>
      </c>
      <c r="F48" s="281" t="s">
        <v>64</v>
      </c>
      <c r="G48" s="570" t="s">
        <v>561</v>
      </c>
      <c r="H48" s="150" t="s">
        <v>399</v>
      </c>
      <c r="I48" s="281" t="s">
        <v>378</v>
      </c>
    </row>
    <row r="49" spans="1:9" s="279" customFormat="1" ht="11.25" outlineLevel="1">
      <c r="A49" s="588" t="s">
        <v>796</v>
      </c>
      <c r="B49" s="283">
        <v>2630126</v>
      </c>
      <c r="C49" s="283">
        <v>850183</v>
      </c>
      <c r="D49" s="283">
        <v>0</v>
      </c>
      <c r="E49" s="283">
        <v>0</v>
      </c>
      <c r="F49" s="283">
        <v>0</v>
      </c>
      <c r="G49" s="546">
        <v>7860145</v>
      </c>
      <c r="H49" s="283">
        <v>62877</v>
      </c>
      <c r="I49" s="283">
        <f>SUM(B49:H49)</f>
        <v>11403331</v>
      </c>
    </row>
    <row r="50" spans="1:9" s="279" customFormat="1" ht="11.25" outlineLevel="1">
      <c r="A50" s="284" t="s">
        <v>238</v>
      </c>
      <c r="B50" s="285">
        <f aca="true" t="shared" si="16" ref="B50:H50">SUM(B51:B54)</f>
        <v>0</v>
      </c>
      <c r="C50" s="285">
        <f t="shared" si="16"/>
        <v>90089</v>
      </c>
      <c r="D50" s="285">
        <f t="shared" si="16"/>
        <v>0</v>
      </c>
      <c r="E50" s="285">
        <f t="shared" si="16"/>
        <v>0</v>
      </c>
      <c r="F50" s="285">
        <f t="shared" si="16"/>
        <v>0</v>
      </c>
      <c r="G50" s="265">
        <f>SUM(G51:G54)</f>
        <v>0</v>
      </c>
      <c r="H50" s="285">
        <f t="shared" si="16"/>
        <v>3400</v>
      </c>
      <c r="I50" s="285">
        <f aca="true" t="shared" si="17" ref="I50:I84">SUM(B50:H50)</f>
        <v>93489</v>
      </c>
    </row>
    <row r="51" spans="1:9" s="279" customFormat="1" ht="11.25" outlineLevel="1">
      <c r="A51" s="287" t="s">
        <v>477</v>
      </c>
      <c r="B51" s="288">
        <v>0</v>
      </c>
      <c r="C51" s="288">
        <v>0</v>
      </c>
      <c r="D51" s="288">
        <v>0</v>
      </c>
      <c r="E51" s="288">
        <v>0</v>
      </c>
      <c r="F51" s="288">
        <v>0</v>
      </c>
      <c r="G51" s="195">
        <v>0</v>
      </c>
      <c r="H51" s="288">
        <v>3400</v>
      </c>
      <c r="I51" s="288">
        <f t="shared" si="17"/>
        <v>3400</v>
      </c>
    </row>
    <row r="52" spans="1:9" s="279" customFormat="1" ht="22.5" outlineLevel="1">
      <c r="A52" s="500" t="s">
        <v>540</v>
      </c>
      <c r="B52" s="288">
        <v>0</v>
      </c>
      <c r="C52" s="288">
        <v>90089</v>
      </c>
      <c r="D52" s="288"/>
      <c r="E52" s="288"/>
      <c r="F52" s="288"/>
      <c r="G52" s="195">
        <v>0</v>
      </c>
      <c r="H52" s="195">
        <v>0</v>
      </c>
      <c r="I52" s="288">
        <f t="shared" si="17"/>
        <v>90089</v>
      </c>
    </row>
    <row r="53" spans="1:9" s="279" customFormat="1" ht="11.25" hidden="1" outlineLevel="1">
      <c r="A53" s="287" t="s">
        <v>11</v>
      </c>
      <c r="B53" s="288"/>
      <c r="C53" s="288"/>
      <c r="D53" s="288"/>
      <c r="E53" s="288"/>
      <c r="F53" s="288"/>
      <c r="G53" s="195"/>
      <c r="H53" s="195"/>
      <c r="I53" s="288">
        <f t="shared" si="17"/>
        <v>0</v>
      </c>
    </row>
    <row r="54" spans="1:9" s="279" customFormat="1" ht="11.25" hidden="1" outlineLevel="1">
      <c r="A54" s="287" t="s">
        <v>39</v>
      </c>
      <c r="B54" s="288">
        <v>0</v>
      </c>
      <c r="C54" s="288">
        <v>0</v>
      </c>
      <c r="D54" s="288"/>
      <c r="E54" s="288"/>
      <c r="F54" s="288"/>
      <c r="G54" s="195">
        <v>0</v>
      </c>
      <c r="H54" s="195">
        <v>0</v>
      </c>
      <c r="I54" s="288">
        <f t="shared" si="17"/>
        <v>0</v>
      </c>
    </row>
    <row r="55" spans="1:9" s="279" customFormat="1" ht="11.25" outlineLevel="1">
      <c r="A55" s="284" t="s">
        <v>237</v>
      </c>
      <c r="B55" s="285">
        <f aca="true" t="shared" si="18" ref="B55:G55">SUM(B56:B59)</f>
        <v>0</v>
      </c>
      <c r="C55" s="285">
        <f t="shared" si="18"/>
        <v>0</v>
      </c>
      <c r="D55" s="285">
        <f t="shared" si="18"/>
        <v>0</v>
      </c>
      <c r="E55" s="285">
        <f t="shared" si="18"/>
        <v>0</v>
      </c>
      <c r="F55" s="285">
        <f t="shared" si="18"/>
        <v>0</v>
      </c>
      <c r="G55" s="265">
        <f t="shared" si="18"/>
        <v>0</v>
      </c>
      <c r="H55" s="285">
        <f>SUM(H56:H59)</f>
        <v>0</v>
      </c>
      <c r="I55" s="285">
        <f t="shared" si="17"/>
        <v>0</v>
      </c>
    </row>
    <row r="56" spans="1:9" s="279" customFormat="1" ht="11.25" hidden="1" outlineLevel="1">
      <c r="A56" s="363" t="s">
        <v>631</v>
      </c>
      <c r="B56" s="288">
        <v>0</v>
      </c>
      <c r="C56" s="288">
        <v>0</v>
      </c>
      <c r="D56" s="288"/>
      <c r="E56" s="288"/>
      <c r="F56" s="288"/>
      <c r="G56" s="195">
        <v>0</v>
      </c>
      <c r="H56" s="195">
        <v>0</v>
      </c>
      <c r="I56" s="288">
        <f t="shared" si="17"/>
        <v>0</v>
      </c>
    </row>
    <row r="57" spans="1:9" s="279" customFormat="1" ht="11.25" hidden="1" outlineLevel="1">
      <c r="A57" s="591" t="s">
        <v>632</v>
      </c>
      <c r="B57" s="288">
        <v>0</v>
      </c>
      <c r="C57" s="288">
        <v>0</v>
      </c>
      <c r="D57" s="288">
        <v>0</v>
      </c>
      <c r="E57" s="288">
        <v>0</v>
      </c>
      <c r="F57" s="288">
        <v>0</v>
      </c>
      <c r="G57" s="195">
        <v>0</v>
      </c>
      <c r="H57" s="288">
        <v>0</v>
      </c>
      <c r="I57" s="288">
        <f t="shared" si="17"/>
        <v>0</v>
      </c>
    </row>
    <row r="58" spans="1:9" s="279" customFormat="1" ht="11.25" hidden="1" outlineLevel="1">
      <c r="A58" s="592" t="s">
        <v>39</v>
      </c>
      <c r="B58" s="288">
        <v>0</v>
      </c>
      <c r="C58" s="288">
        <v>0</v>
      </c>
      <c r="D58" s="288"/>
      <c r="E58" s="288"/>
      <c r="F58" s="288"/>
      <c r="G58" s="195">
        <v>0</v>
      </c>
      <c r="H58" s="195">
        <v>0</v>
      </c>
      <c r="I58" s="288">
        <f t="shared" si="17"/>
        <v>0</v>
      </c>
    </row>
    <row r="59" spans="1:9" s="279" customFormat="1" ht="11.25" hidden="1" outlineLevel="1">
      <c r="A59" s="287" t="s">
        <v>39</v>
      </c>
      <c r="B59" s="288"/>
      <c r="C59" s="288"/>
      <c r="D59" s="288"/>
      <c r="E59" s="288"/>
      <c r="F59" s="288"/>
      <c r="G59" s="195"/>
      <c r="H59" s="288"/>
      <c r="I59" s="288">
        <f t="shared" si="17"/>
        <v>0</v>
      </c>
    </row>
    <row r="60" spans="1:9" s="279" customFormat="1" ht="12" outlineLevel="1" thickBot="1">
      <c r="A60" s="129" t="s">
        <v>798</v>
      </c>
      <c r="B60" s="289">
        <f aca="true" t="shared" si="19" ref="B60:H60">B49+B50-B55</f>
        <v>2630126</v>
      </c>
      <c r="C60" s="289">
        <f t="shared" si="19"/>
        <v>940272</v>
      </c>
      <c r="D60" s="289">
        <f t="shared" si="19"/>
        <v>0</v>
      </c>
      <c r="E60" s="289">
        <f t="shared" si="19"/>
        <v>0</v>
      </c>
      <c r="F60" s="289">
        <f t="shared" si="19"/>
        <v>0</v>
      </c>
      <c r="G60" s="203">
        <f t="shared" si="19"/>
        <v>7860145</v>
      </c>
      <c r="H60" s="289">
        <f t="shared" si="19"/>
        <v>66277</v>
      </c>
      <c r="I60" s="289">
        <f t="shared" si="17"/>
        <v>11496820</v>
      </c>
    </row>
    <row r="61" spans="1:9" s="279" customFormat="1" ht="12" outlineLevel="1" thickTop="1">
      <c r="A61" s="129" t="s">
        <v>804</v>
      </c>
      <c r="B61" s="599">
        <v>594926</v>
      </c>
      <c r="C61" s="599">
        <v>449915</v>
      </c>
      <c r="D61" s="599"/>
      <c r="E61" s="599"/>
      <c r="F61" s="599"/>
      <c r="G61" s="462">
        <v>150000</v>
      </c>
      <c r="H61" s="599">
        <v>0</v>
      </c>
      <c r="I61" s="285">
        <f t="shared" si="17"/>
        <v>1194841</v>
      </c>
    </row>
    <row r="62" spans="1:9" s="279" customFormat="1" ht="11.25" outlineLevel="1">
      <c r="A62" s="129" t="s">
        <v>653</v>
      </c>
      <c r="B62" s="599">
        <v>12123</v>
      </c>
      <c r="C62" s="599">
        <v>0</v>
      </c>
      <c r="D62" s="599"/>
      <c r="E62" s="599"/>
      <c r="F62" s="599"/>
      <c r="G62" s="462">
        <v>0</v>
      </c>
      <c r="H62" s="462">
        <v>0</v>
      </c>
      <c r="I62" s="599">
        <f t="shared" si="17"/>
        <v>12123</v>
      </c>
    </row>
    <row r="63" spans="1:9" s="279" customFormat="1" ht="11.25" outlineLevel="1">
      <c r="A63" s="129" t="s">
        <v>437</v>
      </c>
      <c r="B63" s="599">
        <v>0</v>
      </c>
      <c r="C63" s="599">
        <v>0</v>
      </c>
      <c r="D63" s="599"/>
      <c r="E63" s="599"/>
      <c r="F63" s="599"/>
      <c r="G63" s="462">
        <v>0</v>
      </c>
      <c r="H63" s="462">
        <v>0</v>
      </c>
      <c r="I63" s="599">
        <f t="shared" si="17"/>
        <v>0</v>
      </c>
    </row>
    <row r="64" spans="1:9" s="279" customFormat="1" ht="12" outlineLevel="1" thickBot="1">
      <c r="A64" s="129" t="s">
        <v>805</v>
      </c>
      <c r="B64" s="289">
        <f>B61+B62-B63</f>
        <v>607049</v>
      </c>
      <c r="C64" s="289">
        <f aca="true" t="shared" si="20" ref="C64:I64">C61+C62-C63</f>
        <v>449915</v>
      </c>
      <c r="D64" s="289">
        <f t="shared" si="20"/>
        <v>0</v>
      </c>
      <c r="E64" s="289">
        <f t="shared" si="20"/>
        <v>0</v>
      </c>
      <c r="F64" s="289">
        <f t="shared" si="20"/>
        <v>0</v>
      </c>
      <c r="G64" s="289">
        <f t="shared" si="20"/>
        <v>150000</v>
      </c>
      <c r="H64" s="289">
        <f t="shared" si="20"/>
        <v>0</v>
      </c>
      <c r="I64" s="289">
        <f t="shared" si="20"/>
        <v>1206964</v>
      </c>
    </row>
    <row r="65" spans="1:9" s="279" customFormat="1" ht="12" outlineLevel="1" thickTop="1">
      <c r="A65" s="78" t="s">
        <v>799</v>
      </c>
      <c r="B65" s="290">
        <v>1286096</v>
      </c>
      <c r="C65" s="290">
        <v>0</v>
      </c>
      <c r="D65" s="290">
        <v>0</v>
      </c>
      <c r="E65" s="290">
        <v>0</v>
      </c>
      <c r="F65" s="290">
        <v>0</v>
      </c>
      <c r="G65" s="202">
        <v>2037366</v>
      </c>
      <c r="H65" s="290">
        <v>0</v>
      </c>
      <c r="I65" s="290">
        <f t="shared" si="17"/>
        <v>3323462</v>
      </c>
    </row>
    <row r="66" spans="1:9" s="279" customFormat="1" ht="11.25" outlineLevel="1">
      <c r="A66" s="284" t="s">
        <v>238</v>
      </c>
      <c r="B66" s="285">
        <f aca="true" t="shared" si="21" ref="B66:H66">SUM(B67:B69)</f>
        <v>221937</v>
      </c>
      <c r="C66" s="285">
        <f t="shared" si="21"/>
        <v>0</v>
      </c>
      <c r="D66" s="285">
        <f t="shared" si="21"/>
        <v>0</v>
      </c>
      <c r="E66" s="285">
        <f t="shared" si="21"/>
        <v>0</v>
      </c>
      <c r="F66" s="285">
        <f t="shared" si="21"/>
        <v>0</v>
      </c>
      <c r="G66" s="265">
        <f t="shared" si="21"/>
        <v>80958</v>
      </c>
      <c r="H66" s="285">
        <f t="shared" si="21"/>
        <v>0</v>
      </c>
      <c r="I66" s="285">
        <f t="shared" si="17"/>
        <v>302895</v>
      </c>
    </row>
    <row r="67" spans="1:9" s="279" customFormat="1" ht="11.25" outlineLevel="1">
      <c r="A67" s="287" t="s">
        <v>447</v>
      </c>
      <c r="B67" s="288">
        <v>221937</v>
      </c>
      <c r="C67" s="288">
        <v>0</v>
      </c>
      <c r="D67" s="288">
        <v>0</v>
      </c>
      <c r="E67" s="288">
        <v>0</v>
      </c>
      <c r="F67" s="288">
        <v>0</v>
      </c>
      <c r="G67" s="195">
        <v>80958</v>
      </c>
      <c r="H67" s="288">
        <v>0</v>
      </c>
      <c r="I67" s="288">
        <f t="shared" si="17"/>
        <v>302895</v>
      </c>
    </row>
    <row r="68" spans="1:9" s="279" customFormat="1" ht="11.25" hidden="1" outlineLevel="1">
      <c r="A68" s="287" t="s">
        <v>443</v>
      </c>
      <c r="B68" s="288"/>
      <c r="C68" s="288"/>
      <c r="D68" s="288"/>
      <c r="E68" s="288"/>
      <c r="F68" s="288"/>
      <c r="G68" s="195"/>
      <c r="H68" s="288"/>
      <c r="I68" s="288">
        <f t="shared" si="17"/>
        <v>0</v>
      </c>
    </row>
    <row r="69" spans="1:9" s="279" customFormat="1" ht="11.25" hidden="1" outlineLevel="1">
      <c r="A69" s="287" t="s">
        <v>39</v>
      </c>
      <c r="B69" s="288"/>
      <c r="C69" s="288"/>
      <c r="D69" s="288"/>
      <c r="E69" s="288"/>
      <c r="F69" s="288"/>
      <c r="G69" s="195"/>
      <c r="H69" s="288"/>
      <c r="I69" s="288">
        <f t="shared" si="17"/>
        <v>0</v>
      </c>
    </row>
    <row r="70" spans="1:9" s="279" customFormat="1" ht="11.25" outlineLevel="1">
      <c r="A70" s="284" t="s">
        <v>237</v>
      </c>
      <c r="B70" s="285">
        <f aca="true" t="shared" si="22" ref="B70:H70">SUM(B71:B73)</f>
        <v>0</v>
      </c>
      <c r="C70" s="285">
        <f t="shared" si="22"/>
        <v>0</v>
      </c>
      <c r="D70" s="285">
        <f t="shared" si="22"/>
        <v>0</v>
      </c>
      <c r="E70" s="285">
        <f t="shared" si="22"/>
        <v>0</v>
      </c>
      <c r="F70" s="285">
        <f t="shared" si="22"/>
        <v>0</v>
      </c>
      <c r="G70" s="265">
        <f t="shared" si="22"/>
        <v>0</v>
      </c>
      <c r="H70" s="285">
        <f t="shared" si="22"/>
        <v>0</v>
      </c>
      <c r="I70" s="285">
        <f t="shared" si="17"/>
        <v>0</v>
      </c>
    </row>
    <row r="71" spans="1:9" s="279" customFormat="1" ht="11.25" hidden="1" outlineLevel="1">
      <c r="A71" s="287" t="s">
        <v>448</v>
      </c>
      <c r="B71" s="288"/>
      <c r="C71" s="288"/>
      <c r="D71" s="288"/>
      <c r="E71" s="288"/>
      <c r="F71" s="288"/>
      <c r="G71" s="195"/>
      <c r="H71" s="288"/>
      <c r="I71" s="288">
        <f t="shared" si="17"/>
        <v>0</v>
      </c>
    </row>
    <row r="72" spans="1:9" s="279" customFormat="1" ht="11.25" hidden="1" outlineLevel="1">
      <c r="A72" s="287" t="s">
        <v>443</v>
      </c>
      <c r="B72" s="288"/>
      <c r="C72" s="288"/>
      <c r="D72" s="288"/>
      <c r="E72" s="288"/>
      <c r="F72" s="288"/>
      <c r="G72" s="195"/>
      <c r="H72" s="288"/>
      <c r="I72" s="288">
        <f t="shared" si="17"/>
        <v>0</v>
      </c>
    </row>
    <row r="73" spans="1:9" s="279" customFormat="1" ht="11.25" hidden="1" outlineLevel="1">
      <c r="A73" s="287" t="s">
        <v>39</v>
      </c>
      <c r="B73" s="288"/>
      <c r="C73" s="288"/>
      <c r="D73" s="288"/>
      <c r="E73" s="288"/>
      <c r="F73" s="288"/>
      <c r="G73" s="195"/>
      <c r="H73" s="288"/>
      <c r="I73" s="288">
        <f t="shared" si="17"/>
        <v>0</v>
      </c>
    </row>
    <row r="74" spans="1:9" s="279" customFormat="1" ht="12" outlineLevel="1" thickBot="1">
      <c r="A74" s="78" t="s">
        <v>801</v>
      </c>
      <c r="B74" s="289">
        <f aca="true" t="shared" si="23" ref="B74:H74">B65+B66-B70</f>
        <v>1508033</v>
      </c>
      <c r="C74" s="289">
        <f t="shared" si="23"/>
        <v>0</v>
      </c>
      <c r="D74" s="289">
        <f t="shared" si="23"/>
        <v>0</v>
      </c>
      <c r="E74" s="289">
        <f t="shared" si="23"/>
        <v>0</v>
      </c>
      <c r="F74" s="289">
        <f t="shared" si="23"/>
        <v>0</v>
      </c>
      <c r="G74" s="289">
        <f t="shared" si="23"/>
        <v>2118324</v>
      </c>
      <c r="H74" s="289">
        <f t="shared" si="23"/>
        <v>0</v>
      </c>
      <c r="I74" s="289">
        <f t="shared" si="17"/>
        <v>3626357</v>
      </c>
    </row>
    <row r="75" spans="1:9" s="279" customFormat="1" ht="23.25" hidden="1" outlineLevel="1" thickTop="1">
      <c r="A75" s="78" t="str">
        <f>CONCATENATE("Odpisy aktualizujące na dzień"," ",'Dane podstawowe'!$B$7)</f>
        <v>Odpisy aktualizujące na dzień 01.01.2022 - 31.12.2022</v>
      </c>
      <c r="B75" s="283"/>
      <c r="C75" s="283"/>
      <c r="D75" s="283"/>
      <c r="E75" s="283"/>
      <c r="F75" s="283"/>
      <c r="G75" s="283"/>
      <c r="H75" s="283"/>
      <c r="I75" s="283">
        <f t="shared" si="17"/>
        <v>0</v>
      </c>
    </row>
    <row r="76" spans="1:9" s="279" customFormat="1" ht="11.25" hidden="1" outlineLevel="1">
      <c r="A76" s="267" t="s">
        <v>238</v>
      </c>
      <c r="B76" s="285">
        <f aca="true" t="shared" si="24" ref="B76:G76">SUM(B77:B78)</f>
        <v>0</v>
      </c>
      <c r="C76" s="285">
        <f t="shared" si="24"/>
        <v>0</v>
      </c>
      <c r="D76" s="285">
        <f t="shared" si="24"/>
        <v>0</v>
      </c>
      <c r="E76" s="285">
        <f t="shared" si="24"/>
        <v>0</v>
      </c>
      <c r="F76" s="285">
        <f t="shared" si="24"/>
        <v>0</v>
      </c>
      <c r="G76" s="285">
        <f t="shared" si="24"/>
        <v>0</v>
      </c>
      <c r="H76" s="285">
        <f>SUM(H77:H78)</f>
        <v>0</v>
      </c>
      <c r="I76" s="285">
        <f t="shared" si="17"/>
        <v>0</v>
      </c>
    </row>
    <row r="77" spans="1:9" s="279" customFormat="1" ht="11.25" hidden="1" outlineLevel="1">
      <c r="A77" s="130" t="s">
        <v>449</v>
      </c>
      <c r="B77" s="288"/>
      <c r="C77" s="288"/>
      <c r="D77" s="288"/>
      <c r="E77" s="288"/>
      <c r="F77" s="288"/>
      <c r="G77" s="288"/>
      <c r="H77" s="288"/>
      <c r="I77" s="288">
        <f t="shared" si="17"/>
        <v>0</v>
      </c>
    </row>
    <row r="78" spans="1:9" s="279" customFormat="1" ht="11.25" hidden="1" outlineLevel="1">
      <c r="A78" s="130" t="s">
        <v>39</v>
      </c>
      <c r="B78" s="288"/>
      <c r="C78" s="288"/>
      <c r="D78" s="288"/>
      <c r="E78" s="288"/>
      <c r="F78" s="288"/>
      <c r="G78" s="288"/>
      <c r="H78" s="288"/>
      <c r="I78" s="288">
        <f t="shared" si="17"/>
        <v>0</v>
      </c>
    </row>
    <row r="79" spans="1:9" s="279" customFormat="1" ht="11.25" hidden="1" outlineLevel="1">
      <c r="A79" s="267" t="s">
        <v>237</v>
      </c>
      <c r="B79" s="285">
        <f aca="true" t="shared" si="25" ref="B79:G79">SUM(B80:B82)</f>
        <v>0</v>
      </c>
      <c r="C79" s="285">
        <f t="shared" si="25"/>
        <v>0</v>
      </c>
      <c r="D79" s="285">
        <f t="shared" si="25"/>
        <v>0</v>
      </c>
      <c r="E79" s="285">
        <f t="shared" si="25"/>
        <v>0</v>
      </c>
      <c r="F79" s="285">
        <f t="shared" si="25"/>
        <v>0</v>
      </c>
      <c r="G79" s="285">
        <f t="shared" si="25"/>
        <v>0</v>
      </c>
      <c r="H79" s="285">
        <f>SUM(H80:H82)</f>
        <v>0</v>
      </c>
      <c r="I79" s="285">
        <f t="shared" si="17"/>
        <v>0</v>
      </c>
    </row>
    <row r="80" spans="1:9" s="279" customFormat="1" ht="11.25" hidden="1" outlineLevel="1">
      <c r="A80" s="130" t="s">
        <v>450</v>
      </c>
      <c r="B80" s="288"/>
      <c r="C80" s="288"/>
      <c r="D80" s="288"/>
      <c r="E80" s="288"/>
      <c r="F80" s="288"/>
      <c r="G80" s="288"/>
      <c r="H80" s="288"/>
      <c r="I80" s="288">
        <f t="shared" si="17"/>
        <v>0</v>
      </c>
    </row>
    <row r="81" spans="1:9" s="279" customFormat="1" ht="11.25" hidden="1" outlineLevel="1">
      <c r="A81" s="130" t="s">
        <v>451</v>
      </c>
      <c r="B81" s="288"/>
      <c r="C81" s="288"/>
      <c r="D81" s="288"/>
      <c r="E81" s="288"/>
      <c r="F81" s="288"/>
      <c r="G81" s="288"/>
      <c r="H81" s="288"/>
      <c r="I81" s="288">
        <f t="shared" si="17"/>
        <v>0</v>
      </c>
    </row>
    <row r="82" spans="1:9" s="279" customFormat="1" ht="11.25" hidden="1" outlineLevel="1">
      <c r="A82" s="130" t="s">
        <v>39</v>
      </c>
      <c r="B82" s="288"/>
      <c r="C82" s="288"/>
      <c r="D82" s="288"/>
      <c r="E82" s="288"/>
      <c r="F82" s="288"/>
      <c r="G82" s="288"/>
      <c r="H82" s="288"/>
      <c r="I82" s="288">
        <f t="shared" si="17"/>
        <v>0</v>
      </c>
    </row>
    <row r="83" spans="1:9" s="279" customFormat="1" ht="12" hidden="1" outlineLevel="1" thickBot="1">
      <c r="A83" s="78" t="str">
        <f>CONCATENATE("Odpisy aktualizujące na dzień"," ",'Dane podstawowe'!$B$9)</f>
        <v>Odpisy aktualizujące na dzień 44926</v>
      </c>
      <c r="B83" s="289">
        <f aca="true" t="shared" si="26" ref="B83:H83">B75+B76-B79</f>
        <v>0</v>
      </c>
      <c r="C83" s="289">
        <f t="shared" si="26"/>
        <v>0</v>
      </c>
      <c r="D83" s="289">
        <f t="shared" si="26"/>
        <v>0</v>
      </c>
      <c r="E83" s="289">
        <f t="shared" si="26"/>
        <v>0</v>
      </c>
      <c r="F83" s="289">
        <f t="shared" si="26"/>
        <v>0</v>
      </c>
      <c r="G83" s="289">
        <f t="shared" si="26"/>
        <v>0</v>
      </c>
      <c r="H83" s="289">
        <f t="shared" si="26"/>
        <v>0</v>
      </c>
      <c r="I83" s="289">
        <f t="shared" si="17"/>
        <v>0</v>
      </c>
    </row>
    <row r="84" spans="1:9" s="279" customFormat="1" ht="12.75" outlineLevel="1" thickBot="1" thickTop="1">
      <c r="A84" s="129" t="s">
        <v>802</v>
      </c>
      <c r="B84" s="289">
        <f aca="true" t="shared" si="27" ref="B84:G84">B60-B64-B74</f>
        <v>515044</v>
      </c>
      <c r="C84" s="289">
        <f t="shared" si="27"/>
        <v>490357</v>
      </c>
      <c r="D84" s="289">
        <f t="shared" si="27"/>
        <v>0</v>
      </c>
      <c r="E84" s="289">
        <f t="shared" si="27"/>
        <v>0</v>
      </c>
      <c r="F84" s="289">
        <f t="shared" si="27"/>
        <v>0</v>
      </c>
      <c r="G84" s="289">
        <f t="shared" si="27"/>
        <v>5591821</v>
      </c>
      <c r="H84" s="289">
        <f>H60-H74-H83</f>
        <v>66277</v>
      </c>
      <c r="I84" s="289">
        <f t="shared" si="17"/>
        <v>6663499</v>
      </c>
    </row>
    <row r="85" spans="2:9" s="279" customFormat="1" ht="12" thickTop="1">
      <c r="B85" s="334"/>
      <c r="C85" s="334"/>
      <c r="D85" s="334"/>
      <c r="E85" s="334"/>
      <c r="F85" s="334"/>
      <c r="G85" s="334"/>
      <c r="H85" s="334"/>
      <c r="I85" s="375">
        <f>Aktywa!E5-'NOTA 10 -Wartości niematerialne'!I84</f>
        <v>0</v>
      </c>
    </row>
    <row r="86" spans="1:11" s="279" customFormat="1" ht="11.25">
      <c r="A86" s="72" t="s">
        <v>4</v>
      </c>
      <c r="E86" s="297"/>
      <c r="F86" s="297"/>
      <c r="G86" s="297"/>
      <c r="H86" s="297"/>
      <c r="I86" s="297"/>
      <c r="J86" s="298"/>
      <c r="K86" s="298"/>
    </row>
    <row r="87" spans="1:11" s="279" customFormat="1" ht="11.25">
      <c r="A87" s="280"/>
      <c r="E87" s="297"/>
      <c r="F87" s="297"/>
      <c r="G87" s="297"/>
      <c r="H87" s="297"/>
      <c r="I87" s="297"/>
      <c r="J87" s="298"/>
      <c r="K87" s="298"/>
    </row>
    <row r="88" spans="1:11" s="279" customFormat="1" ht="11.25">
      <c r="A88" s="219" t="s">
        <v>330</v>
      </c>
      <c r="B88" s="594">
        <f>'Dane podstawowe'!$B$9</f>
        <v>44926</v>
      </c>
      <c r="C88" s="594">
        <f>'Dane podstawowe'!$B$14</f>
        <v>44561</v>
      </c>
      <c r="E88" s="297"/>
      <c r="F88" s="297"/>
      <c r="G88" s="297"/>
      <c r="H88" s="297"/>
      <c r="I88" s="297"/>
      <c r="J88" s="298"/>
      <c r="K88" s="298"/>
    </row>
    <row r="89" spans="1:11" s="279" customFormat="1" ht="11.25">
      <c r="A89" s="299" t="s">
        <v>293</v>
      </c>
      <c r="B89" s="117">
        <v>7427499</v>
      </c>
      <c r="C89" s="543">
        <v>6663499</v>
      </c>
      <c r="E89" s="297"/>
      <c r="F89" s="297"/>
      <c r="G89" s="297"/>
      <c r="H89" s="297"/>
      <c r="I89" s="297"/>
      <c r="J89" s="298"/>
      <c r="K89" s="298"/>
    </row>
    <row r="90" spans="1:11" s="279" customFormat="1" ht="22.5">
      <c r="A90" s="273" t="s">
        <v>294</v>
      </c>
      <c r="B90" s="262">
        <v>0</v>
      </c>
      <c r="C90" s="132">
        <v>0</v>
      </c>
      <c r="E90" s="297"/>
      <c r="F90" s="297"/>
      <c r="G90" s="297"/>
      <c r="H90" s="297"/>
      <c r="I90" s="297"/>
      <c r="J90" s="298"/>
      <c r="K90" s="298"/>
    </row>
    <row r="91" spans="1:11" s="279" customFormat="1" ht="11.25">
      <c r="A91" s="272" t="s">
        <v>339</v>
      </c>
      <c r="B91" s="270">
        <f>SUM(B89:B90)</f>
        <v>7427499</v>
      </c>
      <c r="C91" s="270">
        <f>SUM(C89:C90)</f>
        <v>6663499</v>
      </c>
      <c r="E91" s="297"/>
      <c r="F91" s="297"/>
      <c r="G91" s="297"/>
      <c r="H91" s="297"/>
      <c r="I91" s="297"/>
      <c r="J91" s="298"/>
      <c r="K91" s="298"/>
    </row>
    <row r="92" spans="2:11" s="279" customFormat="1" ht="11.25">
      <c r="B92" s="375">
        <f>Aktywa!D5-'NOTA 10 -Wartości niematerialne'!B91</f>
        <v>0</v>
      </c>
      <c r="C92" s="375">
        <f>Aktywa!E5-'NOTA 10 -Wartości niematerialne'!C91</f>
        <v>0</v>
      </c>
      <c r="E92" s="297"/>
      <c r="F92" s="297"/>
      <c r="G92" s="297"/>
      <c r="H92" s="297"/>
      <c r="I92" s="297"/>
      <c r="J92" s="298"/>
      <c r="K92" s="298"/>
    </row>
  </sheetData>
  <sheetProtection/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37" sqref="A37:D57"/>
    </sheetView>
  </sheetViews>
  <sheetFormatPr defaultColWidth="9.28125" defaultRowHeight="12.75"/>
  <cols>
    <col min="1" max="1" width="43.57421875" style="155" customWidth="1"/>
    <col min="2" max="2" width="18.00390625" style="155" customWidth="1"/>
    <col min="3" max="3" width="17.28125" style="155" customWidth="1"/>
    <col min="4" max="4" width="12.7109375" style="155" customWidth="1"/>
    <col min="5" max="5" width="14.28125" style="155" customWidth="1"/>
    <col min="6" max="6" width="13.28125" style="155" customWidth="1"/>
    <col min="7" max="9" width="9.28125" style="155" customWidth="1"/>
    <col min="10" max="10" width="28.28125" style="155" customWidth="1"/>
    <col min="11" max="11" width="11.8515625" style="155" customWidth="1"/>
    <col min="12" max="16384" width="9.28125" style="155" customWidth="1"/>
  </cols>
  <sheetData>
    <row r="1" ht="11.25">
      <c r="A1" s="259"/>
    </row>
    <row r="2" spans="1:3" ht="12.75">
      <c r="A2" s="467" t="s">
        <v>657</v>
      </c>
      <c r="B2" s="62"/>
      <c r="C2" s="62"/>
    </row>
    <row r="3" spans="1:3" ht="11.25">
      <c r="A3" s="62"/>
      <c r="B3" s="62"/>
      <c r="C3" s="62"/>
    </row>
    <row r="4" spans="1:3" ht="11.25">
      <c r="A4" s="72" t="s">
        <v>900</v>
      </c>
      <c r="B4" s="62"/>
      <c r="C4" s="62"/>
    </row>
    <row r="5" spans="1:11" ht="11.25">
      <c r="A5" s="72"/>
      <c r="B5" s="62"/>
      <c r="C5" s="62"/>
      <c r="K5" s="139"/>
    </row>
    <row r="6" spans="1:11" s="52" customFormat="1" ht="31.5" customHeight="1">
      <c r="A6" s="133" t="s">
        <v>330</v>
      </c>
      <c r="B6" s="134" t="s">
        <v>658</v>
      </c>
      <c r="C6" s="134" t="s">
        <v>659</v>
      </c>
      <c r="D6" s="134" t="s">
        <v>339</v>
      </c>
      <c r="K6" s="266"/>
    </row>
    <row r="7" spans="1:11" s="101" customFormat="1" ht="12.75">
      <c r="A7" s="129" t="s">
        <v>888</v>
      </c>
      <c r="B7" s="158">
        <f>B47</f>
        <v>1452746</v>
      </c>
      <c r="C7" s="158">
        <f>C47</f>
        <v>235600</v>
      </c>
      <c r="D7" s="158">
        <f aca="true" t="shared" si="0" ref="D7:D12">B7+C7</f>
        <v>1688346</v>
      </c>
      <c r="K7" s="266"/>
    </row>
    <row r="8" spans="1:11" s="255" customFormat="1" ht="12.75">
      <c r="A8" s="95" t="s">
        <v>660</v>
      </c>
      <c r="B8" s="444">
        <v>0</v>
      </c>
      <c r="C8" s="444">
        <v>0</v>
      </c>
      <c r="D8" s="444">
        <f t="shared" si="0"/>
        <v>0</v>
      </c>
      <c r="J8" s="101"/>
      <c r="K8" s="266"/>
    </row>
    <row r="9" spans="1:11" s="58" customFormat="1" ht="27" customHeight="1">
      <c r="A9" s="129" t="s">
        <v>889</v>
      </c>
      <c r="B9" s="158">
        <f>B7+B8</f>
        <v>1452746</v>
      </c>
      <c r="C9" s="158">
        <f>C7+C8</f>
        <v>235600</v>
      </c>
      <c r="D9" s="158">
        <f t="shared" si="0"/>
        <v>1688346</v>
      </c>
      <c r="K9" s="266"/>
    </row>
    <row r="10" spans="1:4" s="58" customFormat="1" ht="12.75">
      <c r="A10" s="207" t="s">
        <v>238</v>
      </c>
      <c r="B10" s="265">
        <f>SUM(B11:B12)</f>
        <v>377672</v>
      </c>
      <c r="C10" s="265">
        <f>SUM(C11:C12)</f>
        <v>0</v>
      </c>
      <c r="D10" s="158">
        <f t="shared" si="0"/>
        <v>377672</v>
      </c>
    </row>
    <row r="11" spans="1:4" s="58" customFormat="1" ht="12" customHeight="1" hidden="1">
      <c r="A11" s="361" t="s">
        <v>477</v>
      </c>
      <c r="B11" s="195">
        <v>0</v>
      </c>
      <c r="C11" s="195">
        <v>0</v>
      </c>
      <c r="D11" s="195">
        <f t="shared" si="0"/>
        <v>0</v>
      </c>
    </row>
    <row r="12" spans="1:4" s="58" customFormat="1" ht="12.75">
      <c r="A12" s="130" t="s">
        <v>442</v>
      </c>
      <c r="B12" s="195">
        <v>377672</v>
      </c>
      <c r="C12" s="195">
        <v>0</v>
      </c>
      <c r="D12" s="195">
        <f t="shared" si="0"/>
        <v>377672</v>
      </c>
    </row>
    <row r="13" spans="1:4" s="266" customFormat="1" ht="12.75">
      <c r="A13" s="207" t="s">
        <v>237</v>
      </c>
      <c r="B13" s="265">
        <f>SUM(B14:B16)</f>
        <v>201983</v>
      </c>
      <c r="C13" s="265">
        <f>SUM(C14:C16)</f>
        <v>0</v>
      </c>
      <c r="D13" s="265">
        <f>B13+C13</f>
        <v>201983</v>
      </c>
    </row>
    <row r="14" spans="1:4" s="266" customFormat="1" ht="12.75" hidden="1">
      <c r="A14" s="207"/>
      <c r="B14" s="265"/>
      <c r="C14" s="265"/>
      <c r="D14" s="195">
        <f>B14+C14</f>
        <v>0</v>
      </c>
    </row>
    <row r="15" spans="1:4" s="266" customFormat="1" ht="12.75">
      <c r="A15" s="130" t="s">
        <v>704</v>
      </c>
      <c r="B15" s="195">
        <v>201983</v>
      </c>
      <c r="C15" s="195">
        <v>0</v>
      </c>
      <c r="D15" s="195">
        <f>B15+C15</f>
        <v>201983</v>
      </c>
    </row>
    <row r="16" spans="1:4" s="58" customFormat="1" ht="12.75" hidden="1">
      <c r="A16" s="130" t="s">
        <v>819</v>
      </c>
      <c r="B16" s="195">
        <v>0</v>
      </c>
      <c r="C16" s="195"/>
      <c r="D16" s="195">
        <f>B16+C16</f>
        <v>0</v>
      </c>
    </row>
    <row r="17" spans="1:4" s="463" customFormat="1" ht="13.5" thickBot="1">
      <c r="A17" s="607" t="s">
        <v>890</v>
      </c>
      <c r="B17" s="203">
        <f>B9+B10-B13</f>
        <v>1628435</v>
      </c>
      <c r="C17" s="203">
        <f>C9+C10-C13</f>
        <v>235600</v>
      </c>
      <c r="D17" s="201">
        <f aca="true" t="shared" si="1" ref="D17:D22">B17+C17</f>
        <v>1864035</v>
      </c>
    </row>
    <row r="18" spans="1:4" s="255" customFormat="1" ht="13.5" thickTop="1">
      <c r="A18" s="608" t="s">
        <v>891</v>
      </c>
      <c r="B18" s="454">
        <f>B56</f>
        <v>773846</v>
      </c>
      <c r="C18" s="454">
        <f>C56</f>
        <v>23561</v>
      </c>
      <c r="D18" s="454">
        <f t="shared" si="1"/>
        <v>797407</v>
      </c>
    </row>
    <row r="19" spans="1:4" s="58" customFormat="1" ht="12.75">
      <c r="A19" s="684" t="s">
        <v>660</v>
      </c>
      <c r="B19" s="253">
        <v>0</v>
      </c>
      <c r="C19" s="253">
        <v>0</v>
      </c>
      <c r="D19" s="253">
        <f t="shared" si="1"/>
        <v>0</v>
      </c>
    </row>
    <row r="20" spans="1:4" s="58" customFormat="1" ht="12.75">
      <c r="A20" s="129" t="s">
        <v>892</v>
      </c>
      <c r="B20" s="123">
        <f>B18+B19</f>
        <v>773846</v>
      </c>
      <c r="C20" s="123">
        <f>C18+C19</f>
        <v>23561</v>
      </c>
      <c r="D20" s="454">
        <f t="shared" si="1"/>
        <v>797407</v>
      </c>
    </row>
    <row r="21" spans="1:4" s="58" customFormat="1" ht="12.75">
      <c r="A21" s="83" t="s">
        <v>238</v>
      </c>
      <c r="B21" s="123">
        <f>SUM(B22:B22)</f>
        <v>352111</v>
      </c>
      <c r="C21" s="123">
        <f>SUM(C22:C22)</f>
        <v>47124</v>
      </c>
      <c r="D21" s="454">
        <f t="shared" si="1"/>
        <v>399235</v>
      </c>
    </row>
    <row r="22" spans="1:4" s="58" customFormat="1" ht="12.75">
      <c r="A22" s="130" t="s">
        <v>447</v>
      </c>
      <c r="B22" s="195">
        <v>352111</v>
      </c>
      <c r="C22" s="195">
        <v>47124</v>
      </c>
      <c r="D22" s="195">
        <f t="shared" si="1"/>
        <v>399235</v>
      </c>
    </row>
    <row r="23" spans="1:4" s="266" customFormat="1" ht="12.75">
      <c r="A23" s="207" t="s">
        <v>237</v>
      </c>
      <c r="B23" s="265">
        <f>SUM(B24:B25)</f>
        <v>204059</v>
      </c>
      <c r="C23" s="265">
        <f>SUM(C24:C25)</f>
        <v>0</v>
      </c>
      <c r="D23" s="454">
        <f>B23+C23</f>
        <v>204059</v>
      </c>
    </row>
    <row r="24" spans="1:4" s="266" customFormat="1" ht="12.75" hidden="1">
      <c r="A24" s="361" t="s">
        <v>39</v>
      </c>
      <c r="B24" s="195">
        <v>0</v>
      </c>
      <c r="C24" s="195"/>
      <c r="D24" s="195">
        <f>B24+C24</f>
        <v>0</v>
      </c>
    </row>
    <row r="25" spans="1:4" s="52" customFormat="1" ht="12.75">
      <c r="A25" s="361" t="s">
        <v>705</v>
      </c>
      <c r="B25" s="195">
        <v>204059</v>
      </c>
      <c r="C25" s="195">
        <v>0</v>
      </c>
      <c r="D25" s="195">
        <f>B25+C25</f>
        <v>204059</v>
      </c>
    </row>
    <row r="26" spans="1:4" s="463" customFormat="1" ht="13.5" thickBot="1">
      <c r="A26" s="607" t="s">
        <v>893</v>
      </c>
      <c r="B26" s="203">
        <f>B20+B21-B23</f>
        <v>921898</v>
      </c>
      <c r="C26" s="203">
        <f>C20+C21-C23</f>
        <v>70685</v>
      </c>
      <c r="D26" s="201">
        <f>B26+C26</f>
        <v>992583</v>
      </c>
    </row>
    <row r="27" spans="1:4" s="101" customFormat="1" ht="14.25" thickBot="1" thickTop="1">
      <c r="A27" s="609" t="s">
        <v>894</v>
      </c>
      <c r="B27" s="610">
        <f>B17-B26</f>
        <v>706537</v>
      </c>
      <c r="C27" s="610">
        <f>C17-C26</f>
        <v>164915</v>
      </c>
      <c r="D27" s="610">
        <f>B27+C27</f>
        <v>871452</v>
      </c>
    </row>
    <row r="28" spans="2:4" ht="27.75" customHeight="1" thickTop="1">
      <c r="B28" s="269"/>
      <c r="C28" s="269"/>
      <c r="D28" s="375">
        <f>Aktywa!D6-D27</f>
        <v>0</v>
      </c>
    </row>
    <row r="35" spans="1:3" ht="11.25">
      <c r="A35" s="72" t="s">
        <v>806</v>
      </c>
      <c r="B35" s="62"/>
      <c r="C35" s="62"/>
    </row>
    <row r="36" spans="1:3" ht="11.25">
      <c r="A36" s="72"/>
      <c r="B36" s="62"/>
      <c r="C36" s="62"/>
    </row>
    <row r="37" spans="1:4" ht="33.75">
      <c r="A37" s="133" t="s">
        <v>330</v>
      </c>
      <c r="B37" s="134" t="s">
        <v>658</v>
      </c>
      <c r="C37" s="134" t="s">
        <v>659</v>
      </c>
      <c r="D37" s="134" t="s">
        <v>339</v>
      </c>
    </row>
    <row r="38" spans="1:4" ht="11.25">
      <c r="A38" s="129" t="s">
        <v>796</v>
      </c>
      <c r="B38" s="158">
        <v>934179</v>
      </c>
      <c r="C38" s="158">
        <v>281325</v>
      </c>
      <c r="D38" s="158">
        <f aca="true" t="shared" si="2" ref="D38:D43">B38+C38</f>
        <v>1215504</v>
      </c>
    </row>
    <row r="39" spans="1:4" ht="11.25">
      <c r="A39" s="95" t="s">
        <v>660</v>
      </c>
      <c r="B39" s="444">
        <v>0</v>
      </c>
      <c r="C39" s="444">
        <v>0</v>
      </c>
      <c r="D39" s="444">
        <f t="shared" si="2"/>
        <v>0</v>
      </c>
    </row>
    <row r="40" spans="1:4" ht="22.5">
      <c r="A40" s="129" t="s">
        <v>797</v>
      </c>
      <c r="B40" s="158">
        <f>B38+B39</f>
        <v>934179</v>
      </c>
      <c r="C40" s="158">
        <f>C38+C39</f>
        <v>281325</v>
      </c>
      <c r="D40" s="158">
        <f t="shared" si="2"/>
        <v>1215504</v>
      </c>
    </row>
    <row r="41" spans="1:4" ht="11.25">
      <c r="A41" s="207" t="s">
        <v>238</v>
      </c>
      <c r="B41" s="265">
        <f>SUM(B42:B43)</f>
        <v>666398</v>
      </c>
      <c r="C41" s="265">
        <f>SUM(C42:C43)</f>
        <v>235600</v>
      </c>
      <c r="D41" s="158">
        <f t="shared" si="2"/>
        <v>901998</v>
      </c>
    </row>
    <row r="42" spans="1:4" ht="11.25" hidden="1">
      <c r="A42" s="361" t="s">
        <v>477</v>
      </c>
      <c r="B42" s="195">
        <v>0</v>
      </c>
      <c r="C42" s="195">
        <v>0</v>
      </c>
      <c r="D42" s="195">
        <f t="shared" si="2"/>
        <v>0</v>
      </c>
    </row>
    <row r="43" spans="1:4" ht="11.25">
      <c r="A43" s="130" t="s">
        <v>442</v>
      </c>
      <c r="B43" s="195">
        <v>666398</v>
      </c>
      <c r="C43" s="195">
        <v>235600</v>
      </c>
      <c r="D43" s="195">
        <f t="shared" si="2"/>
        <v>901998</v>
      </c>
    </row>
    <row r="44" spans="1:6" s="52" customFormat="1" ht="12.75">
      <c r="A44" s="207" t="s">
        <v>237</v>
      </c>
      <c r="B44" s="265">
        <f>SUM(B45:B46)</f>
        <v>147831</v>
      </c>
      <c r="C44" s="265">
        <f>SUM(C45:C46)</f>
        <v>281325</v>
      </c>
      <c r="D44" s="265">
        <f>B44+C44</f>
        <v>429156</v>
      </c>
      <c r="E44" s="155"/>
      <c r="F44" s="155"/>
    </row>
    <row r="45" spans="1:6" s="101" customFormat="1" ht="12.75">
      <c r="A45" s="130" t="s">
        <v>807</v>
      </c>
      <c r="B45" s="195">
        <v>0</v>
      </c>
      <c r="C45" s="195">
        <v>114937</v>
      </c>
      <c r="D45" s="195">
        <f>B45+C45</f>
        <v>114937</v>
      </c>
      <c r="E45" s="155"/>
      <c r="F45" s="155"/>
    </row>
    <row r="46" spans="1:6" s="101" customFormat="1" ht="12.75">
      <c r="A46" s="130" t="s">
        <v>819</v>
      </c>
      <c r="B46" s="673">
        <v>147831</v>
      </c>
      <c r="C46" s="673">
        <v>166388</v>
      </c>
      <c r="D46" s="195">
        <f>B46+C46</f>
        <v>314219</v>
      </c>
      <c r="E46" s="155"/>
      <c r="F46" s="155"/>
    </row>
    <row r="47" spans="1:6" s="255" customFormat="1" ht="13.5" thickBot="1">
      <c r="A47" s="607" t="s">
        <v>798</v>
      </c>
      <c r="B47" s="203">
        <f>B40+B41-B44</f>
        <v>1452746</v>
      </c>
      <c r="C47" s="203">
        <f>C40+C41-C44</f>
        <v>235600</v>
      </c>
      <c r="D47" s="201">
        <f aca="true" t="shared" si="3" ref="D47:D52">B47+C47</f>
        <v>1688346</v>
      </c>
      <c r="E47" s="155"/>
      <c r="F47" s="155"/>
    </row>
    <row r="48" spans="1:6" s="58" customFormat="1" ht="13.5" thickTop="1">
      <c r="A48" s="608" t="s">
        <v>799</v>
      </c>
      <c r="B48" s="454">
        <v>404150</v>
      </c>
      <c r="C48" s="454">
        <v>142943</v>
      </c>
      <c r="D48" s="454">
        <f t="shared" si="3"/>
        <v>547093</v>
      </c>
      <c r="E48" s="155"/>
      <c r="F48" s="155"/>
    </row>
    <row r="49" spans="1:6" s="266" customFormat="1" ht="12.75">
      <c r="A49" s="684" t="s">
        <v>660</v>
      </c>
      <c r="B49" s="253">
        <v>0</v>
      </c>
      <c r="C49" s="253">
        <v>0</v>
      </c>
      <c r="D49" s="253">
        <f t="shared" si="3"/>
        <v>0</v>
      </c>
      <c r="E49" s="155"/>
      <c r="F49" s="155"/>
    </row>
    <row r="50" spans="1:6" s="58" customFormat="1" ht="12.75">
      <c r="A50" s="129" t="s">
        <v>800</v>
      </c>
      <c r="B50" s="123">
        <f>B48+B49</f>
        <v>404150</v>
      </c>
      <c r="C50" s="123">
        <f>C48+C49</f>
        <v>142943</v>
      </c>
      <c r="D50" s="454">
        <f t="shared" si="3"/>
        <v>547093</v>
      </c>
      <c r="E50" s="155"/>
      <c r="F50" s="155"/>
    </row>
    <row r="51" spans="1:6" s="101" customFormat="1" ht="12.75">
      <c r="A51" s="83" t="s">
        <v>238</v>
      </c>
      <c r="B51" s="123">
        <f>SUM(B52:B52)</f>
        <v>369696</v>
      </c>
      <c r="C51" s="123">
        <f>SUM(C52:C52)</f>
        <v>47006</v>
      </c>
      <c r="D51" s="454">
        <f t="shared" si="3"/>
        <v>416702</v>
      </c>
      <c r="E51" s="155"/>
      <c r="F51" s="155"/>
    </row>
    <row r="52" spans="1:6" s="52" customFormat="1" ht="12.75">
      <c r="A52" s="130" t="s">
        <v>447</v>
      </c>
      <c r="B52" s="195">
        <v>369696</v>
      </c>
      <c r="C52" s="195">
        <v>47006</v>
      </c>
      <c r="D52" s="195">
        <f t="shared" si="3"/>
        <v>416702</v>
      </c>
      <c r="E52" s="155"/>
      <c r="F52" s="155"/>
    </row>
    <row r="53" spans="1:6" s="255" customFormat="1" ht="12.75">
      <c r="A53" s="207" t="s">
        <v>237</v>
      </c>
      <c r="B53" s="265">
        <f>SUM(B54:B55)</f>
        <v>0</v>
      </c>
      <c r="C53" s="265">
        <f>SUM(C54:C55)</f>
        <v>166388</v>
      </c>
      <c r="D53" s="454">
        <f>B53+C53</f>
        <v>166388</v>
      </c>
      <c r="E53" s="155"/>
      <c r="F53" s="155"/>
    </row>
    <row r="54" spans="1:6" s="58" customFormat="1" ht="12.75">
      <c r="A54" s="361" t="s">
        <v>808</v>
      </c>
      <c r="B54" s="195">
        <v>0</v>
      </c>
      <c r="C54" s="195">
        <v>0</v>
      </c>
      <c r="D54" s="195">
        <f>B54+C54</f>
        <v>0</v>
      </c>
      <c r="E54" s="155"/>
      <c r="F54" s="155"/>
    </row>
    <row r="55" spans="1:6" s="58" customFormat="1" ht="12.75">
      <c r="A55" s="361" t="s">
        <v>39</v>
      </c>
      <c r="B55" s="673">
        <v>0</v>
      </c>
      <c r="C55" s="673">
        <v>166388</v>
      </c>
      <c r="D55" s="195">
        <f>B55+C55</f>
        <v>166388</v>
      </c>
      <c r="E55" s="155"/>
      <c r="F55" s="155"/>
    </row>
    <row r="56" spans="1:6" s="255" customFormat="1" ht="13.5" thickBot="1">
      <c r="A56" s="607" t="s">
        <v>801</v>
      </c>
      <c r="B56" s="203">
        <f>B50+B51-B53</f>
        <v>773846</v>
      </c>
      <c r="C56" s="203">
        <f>C50+C51-C53</f>
        <v>23561</v>
      </c>
      <c r="D56" s="201">
        <f>B56+C56</f>
        <v>797407</v>
      </c>
      <c r="E56" s="155"/>
      <c r="F56" s="155"/>
    </row>
    <row r="57" spans="1:6" s="58" customFormat="1" ht="14.25" thickBot="1" thickTop="1">
      <c r="A57" s="609" t="s">
        <v>802</v>
      </c>
      <c r="B57" s="610">
        <f>B47-B56</f>
        <v>678900</v>
      </c>
      <c r="C57" s="610">
        <f>C47-C56</f>
        <v>212039</v>
      </c>
      <c r="D57" s="610">
        <f>B57+C57</f>
        <v>890939</v>
      </c>
      <c r="E57" s="155"/>
      <c r="F57" s="155"/>
    </row>
    <row r="58" spans="1:6" s="52" customFormat="1" ht="13.5" thickTop="1">
      <c r="A58" s="155"/>
      <c r="B58" s="155"/>
      <c r="C58" s="155"/>
      <c r="D58" s="375">
        <f>Aktywa!E6-D57</f>
        <v>0</v>
      </c>
      <c r="E58" s="155"/>
      <c r="F58" s="155"/>
    </row>
    <row r="59" spans="1:6" s="52" customFormat="1" ht="12.75">
      <c r="A59" s="155"/>
      <c r="B59" s="155"/>
      <c r="C59" s="155"/>
      <c r="D59" s="155"/>
      <c r="E59" s="155"/>
      <c r="F59" s="155"/>
    </row>
    <row r="60" spans="1:6" s="255" customFormat="1" ht="12.75">
      <c r="A60" s="155"/>
      <c r="B60" s="155"/>
      <c r="C60" s="155"/>
      <c r="D60" s="155"/>
      <c r="E60" s="155"/>
      <c r="F60" s="155"/>
    </row>
    <row r="61" spans="1:6" s="58" customFormat="1" ht="12.75">
      <c r="A61" s="155"/>
      <c r="B61" s="155"/>
      <c r="C61" s="155"/>
      <c r="D61" s="155"/>
      <c r="E61" s="155"/>
      <c r="F61" s="155"/>
    </row>
    <row r="62" spans="1:6" s="58" customFormat="1" ht="12.75">
      <c r="A62" s="155"/>
      <c r="B62" s="155"/>
      <c r="C62" s="155"/>
      <c r="D62" s="155"/>
      <c r="E62" s="155"/>
      <c r="F62" s="155"/>
    </row>
    <row r="63" spans="1:6" s="255" customFormat="1" ht="12.75">
      <c r="A63" s="155"/>
      <c r="B63" s="155"/>
      <c r="C63" s="155"/>
      <c r="D63" s="155"/>
      <c r="E63" s="155"/>
      <c r="F63" s="155"/>
    </row>
    <row r="64" spans="1:6" s="58" customFormat="1" ht="12.75">
      <c r="A64" s="155"/>
      <c r="B64" s="155"/>
      <c r="C64" s="155"/>
      <c r="D64" s="155"/>
      <c r="E64" s="155"/>
      <c r="F64" s="155"/>
    </row>
    <row r="65" spans="1:6" s="58" customFormat="1" ht="10.5" customHeight="1">
      <c r="A65" s="155"/>
      <c r="B65" s="155"/>
      <c r="C65" s="155"/>
      <c r="D65" s="155"/>
      <c r="E65" s="155"/>
      <c r="F65" s="155"/>
    </row>
    <row r="66" spans="1:6" s="58" customFormat="1" ht="12.75">
      <c r="A66" s="155"/>
      <c r="B66" s="155"/>
      <c r="C66" s="155"/>
      <c r="D66" s="155"/>
      <c r="E66" s="155"/>
      <c r="F66" s="155"/>
    </row>
    <row r="67" spans="1:6" s="52" customFormat="1" ht="12.75">
      <c r="A67" s="155"/>
      <c r="B67" s="155"/>
      <c r="C67" s="155"/>
      <c r="D67" s="155"/>
      <c r="E67" s="155"/>
      <c r="F67" s="155"/>
    </row>
    <row r="68" spans="1:6" s="101" customFormat="1" ht="12.75">
      <c r="A68" s="155"/>
      <c r="B68" s="155"/>
      <c r="C68" s="155"/>
      <c r="D68" s="155"/>
      <c r="E68" s="155"/>
      <c r="F68" s="155"/>
    </row>
    <row r="69" spans="1:6" s="101" customFormat="1" ht="12.75">
      <c r="A69" s="155"/>
      <c r="B69" s="155"/>
      <c r="C69" s="155"/>
      <c r="D69" s="155"/>
      <c r="E69" s="155"/>
      <c r="F69" s="155"/>
    </row>
    <row r="71" spans="1:6" s="139" customFormat="1" ht="11.25">
      <c r="A71" s="155"/>
      <c r="B71" s="155"/>
      <c r="C71" s="155"/>
      <c r="D71" s="155"/>
      <c r="E71" s="155"/>
      <c r="F71" s="155"/>
    </row>
    <row r="85" spans="1:7" s="62" customFormat="1" ht="11.25">
      <c r="A85" s="155"/>
      <c r="B85" s="155"/>
      <c r="C85" s="155"/>
      <c r="D85" s="155"/>
      <c r="E85" s="155"/>
      <c r="F85" s="155"/>
      <c r="G85" s="124"/>
    </row>
    <row r="86" spans="1:7" s="62" customFormat="1" ht="11.25">
      <c r="A86" s="155"/>
      <c r="B86" s="155"/>
      <c r="C86" s="155"/>
      <c r="D86" s="155"/>
      <c r="E86" s="155"/>
      <c r="F86" s="155"/>
      <c r="G86" s="124"/>
    </row>
    <row r="87" spans="1:7" s="62" customFormat="1" ht="11.25">
      <c r="A87" s="155"/>
      <c r="B87" s="155"/>
      <c r="C87" s="155"/>
      <c r="D87" s="155"/>
      <c r="E87" s="155"/>
      <c r="F87" s="155"/>
      <c r="G87" s="124"/>
    </row>
    <row r="88" spans="1:7" s="62" customFormat="1" ht="11.25">
      <c r="A88" s="155"/>
      <c r="B88" s="155"/>
      <c r="C88" s="155"/>
      <c r="D88" s="155"/>
      <c r="E88" s="155"/>
      <c r="F88" s="155"/>
      <c r="G88" s="124"/>
    </row>
    <row r="89" spans="1:7" s="62" customFormat="1" ht="11.25">
      <c r="A89" s="155"/>
      <c r="B89" s="155"/>
      <c r="C89" s="155"/>
      <c r="D89" s="155"/>
      <c r="E89" s="155"/>
      <c r="F89" s="155"/>
      <c r="G89" s="124"/>
    </row>
    <row r="90" spans="1:7" s="62" customFormat="1" ht="11.25">
      <c r="A90" s="155"/>
      <c r="B90" s="155"/>
      <c r="C90" s="155"/>
      <c r="D90" s="155"/>
      <c r="E90" s="155"/>
      <c r="F90" s="155"/>
      <c r="G90" s="124"/>
    </row>
    <row r="91" spans="1:7" s="62" customFormat="1" ht="11.25">
      <c r="A91" s="155"/>
      <c r="B91" s="155"/>
      <c r="C91" s="155"/>
      <c r="D91" s="155"/>
      <c r="E91" s="155"/>
      <c r="F91" s="155"/>
      <c r="G91" s="124"/>
    </row>
    <row r="92" spans="1:7" s="62" customFormat="1" ht="11.25">
      <c r="A92" s="155"/>
      <c r="B92" s="155"/>
      <c r="C92" s="155"/>
      <c r="D92" s="155"/>
      <c r="E92" s="155"/>
      <c r="F92" s="155"/>
      <c r="G92" s="124"/>
    </row>
    <row r="93" spans="1:7" s="62" customFormat="1" ht="11.25">
      <c r="A93" s="155"/>
      <c r="B93" s="155"/>
      <c r="C93" s="155"/>
      <c r="D93" s="155"/>
      <c r="E93" s="155"/>
      <c r="F93" s="155"/>
      <c r="G93" s="124"/>
    </row>
    <row r="94" spans="1:7" s="62" customFormat="1" ht="11.25">
      <c r="A94" s="155"/>
      <c r="B94" s="155"/>
      <c r="C94" s="155"/>
      <c r="D94" s="155"/>
      <c r="E94" s="155"/>
      <c r="F94" s="155"/>
      <c r="G94" s="1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6"/>
  <sheetViews>
    <sheetView showGridLines="0" view="pageBreakPreview" zoomScale="110" zoomScaleSheetLayoutView="110" zoomScalePageLayoutView="0" workbookViewId="0" topLeftCell="A82">
      <selection activeCell="D109" sqref="D109"/>
    </sheetView>
  </sheetViews>
  <sheetFormatPr defaultColWidth="9.28125" defaultRowHeight="12.75"/>
  <cols>
    <col min="1" max="1" width="22.28125" style="306" customWidth="1"/>
    <col min="2" max="3" width="15.7109375" style="306" customWidth="1"/>
    <col min="4" max="4" width="17.421875" style="306" customWidth="1"/>
    <col min="5" max="5" width="13.57421875" style="306" customWidth="1"/>
    <col min="6" max="6" width="11.57421875" style="306" customWidth="1"/>
    <col min="7" max="7" width="12.28125" style="306" customWidth="1"/>
    <col min="8" max="8" width="10.28125" style="306" customWidth="1"/>
    <col min="9" max="9" width="10.421875" style="306" customWidth="1"/>
    <col min="10" max="16384" width="9.28125" style="306" customWidth="1"/>
  </cols>
  <sheetData>
    <row r="1" ht="11.25">
      <c r="A1" s="277"/>
    </row>
    <row r="2" s="475" customFormat="1" ht="12.75">
      <c r="A2" s="466" t="s">
        <v>731</v>
      </c>
    </row>
    <row r="4" spans="1:10" ht="11.25">
      <c r="A4" s="721" t="s">
        <v>368</v>
      </c>
      <c r="B4" s="721"/>
      <c r="C4" s="721"/>
      <c r="D4" s="721"/>
      <c r="E4" s="721"/>
      <c r="F4" s="721"/>
      <c r="G4" s="721"/>
      <c r="H4" s="721"/>
      <c r="I4" s="721"/>
      <c r="J4" s="721"/>
    </row>
    <row r="5" spans="1:10" ht="11.25">
      <c r="A5" s="311"/>
      <c r="B5" s="311"/>
      <c r="C5" s="311"/>
      <c r="D5" s="311"/>
      <c r="E5" s="311"/>
      <c r="F5" s="311"/>
      <c r="G5" s="311"/>
      <c r="H5" s="311"/>
      <c r="I5" s="311"/>
      <c r="J5" s="311"/>
    </row>
    <row r="6" spans="1:6" ht="22.5">
      <c r="A6" s="301" t="s">
        <v>5</v>
      </c>
      <c r="B6" s="589">
        <f>'Dane podstawowe'!$B$9</f>
        <v>44926</v>
      </c>
      <c r="C6" s="589">
        <f>'Dane podstawowe'!$B$14</f>
        <v>44561</v>
      </c>
      <c r="D6" s="311"/>
      <c r="E6" s="311"/>
      <c r="F6" s="311"/>
    </row>
    <row r="7" spans="1:6" ht="11.25">
      <c r="A7" s="274" t="s">
        <v>6</v>
      </c>
      <c r="B7" s="275">
        <v>9993491</v>
      </c>
      <c r="C7" s="275">
        <v>9048965</v>
      </c>
      <c r="D7" s="311"/>
      <c r="E7" s="311"/>
      <c r="F7" s="311"/>
    </row>
    <row r="8" spans="1:6" ht="11.25">
      <c r="A8" s="313" t="s">
        <v>7</v>
      </c>
      <c r="B8" s="275">
        <v>0</v>
      </c>
      <c r="C8" s="275">
        <v>98598</v>
      </c>
      <c r="D8" s="311"/>
      <c r="E8" s="311"/>
      <c r="F8" s="311"/>
    </row>
    <row r="9" spans="1:6" ht="11.25">
      <c r="A9" s="313" t="s">
        <v>8</v>
      </c>
      <c r="B9" s="275">
        <v>0</v>
      </c>
      <c r="C9" s="310">
        <v>0</v>
      </c>
      <c r="D9" s="311"/>
      <c r="E9" s="311"/>
      <c r="F9" s="311"/>
    </row>
    <row r="10" spans="1:6" ht="11.25">
      <c r="A10" s="314"/>
      <c r="B10" s="327">
        <f>Aktywa!D8-B7-B8-B9</f>
        <v>0</v>
      </c>
      <c r="C10" s="327">
        <f>Aktywa!E8-C7-C8-C9</f>
        <v>0</v>
      </c>
      <c r="D10" s="311"/>
      <c r="E10" s="311"/>
      <c r="F10" s="311"/>
    </row>
    <row r="11" spans="1:6" s="271" customFormat="1" ht="11.25">
      <c r="A11" s="445"/>
      <c r="B11" s="368"/>
      <c r="C11" s="368"/>
      <c r="D11" s="446"/>
      <c r="E11" s="446"/>
      <c r="F11" s="446"/>
    </row>
    <row r="12" spans="1:6" ht="11.25">
      <c r="A12" s="305" t="s">
        <v>369</v>
      </c>
      <c r="D12" s="311"/>
      <c r="E12" s="311"/>
      <c r="F12" s="311"/>
    </row>
    <row r="13" spans="1:6" ht="11.25">
      <c r="A13" s="305"/>
      <c r="D13" s="311"/>
      <c r="E13" s="311"/>
      <c r="F13" s="311"/>
    </row>
    <row r="14" spans="1:6" ht="11.25">
      <c r="A14" s="301" t="s">
        <v>330</v>
      </c>
      <c r="B14" s="589">
        <f>'Dane podstawowe'!$B$9</f>
        <v>44926</v>
      </c>
      <c r="C14" s="589">
        <f>'Dane podstawowe'!$B$14</f>
        <v>44561</v>
      </c>
      <c r="D14" s="311"/>
      <c r="E14" s="311"/>
      <c r="F14" s="311"/>
    </row>
    <row r="15" spans="1:6" ht="11.25">
      <c r="A15" s="315" t="s">
        <v>9</v>
      </c>
      <c r="B15" s="316">
        <f>C30</f>
        <v>9048965</v>
      </c>
      <c r="C15" s="304">
        <v>9090457</v>
      </c>
      <c r="D15" s="311"/>
      <c r="E15" s="311"/>
      <c r="F15" s="311"/>
    </row>
    <row r="16" spans="1:6" s="320" customFormat="1" ht="31.5">
      <c r="A16" s="317" t="s">
        <v>10</v>
      </c>
      <c r="B16" s="318">
        <f>SUM(B17:B23)</f>
        <v>1066560</v>
      </c>
      <c r="C16" s="318">
        <f>SUM(C17:C23)</f>
        <v>50500</v>
      </c>
      <c r="D16" s="319"/>
      <c r="E16" s="319"/>
      <c r="F16" s="319"/>
    </row>
    <row r="17" spans="1:6" ht="22.5" hidden="1">
      <c r="A17" s="321" t="s">
        <v>11</v>
      </c>
      <c r="B17" s="303">
        <v>0</v>
      </c>
      <c r="C17" s="302">
        <v>0</v>
      </c>
      <c r="D17" s="311"/>
      <c r="E17" s="311"/>
      <c r="F17" s="311"/>
    </row>
    <row r="18" spans="1:6" ht="22.5">
      <c r="A18" s="556" t="s">
        <v>914</v>
      </c>
      <c r="B18" s="303">
        <v>1066560</v>
      </c>
      <c r="C18" s="302">
        <v>0</v>
      </c>
      <c r="D18" s="311"/>
      <c r="E18" s="311"/>
      <c r="F18" s="311"/>
    </row>
    <row r="19" spans="1:6" ht="11.25" hidden="1">
      <c r="A19" s="556" t="s">
        <v>634</v>
      </c>
      <c r="B19" s="303">
        <v>0</v>
      </c>
      <c r="C19" s="302">
        <v>0</v>
      </c>
      <c r="D19" s="311"/>
      <c r="E19" s="311"/>
      <c r="F19" s="311"/>
    </row>
    <row r="20" spans="1:6" ht="11.25">
      <c r="A20" s="556" t="s">
        <v>830</v>
      </c>
      <c r="B20" s="303">
        <v>0</v>
      </c>
      <c r="C20" s="302">
        <v>50500</v>
      </c>
      <c r="D20" s="311"/>
      <c r="E20" s="311"/>
      <c r="F20" s="311"/>
    </row>
    <row r="21" spans="1:6" ht="22.5" hidden="1">
      <c r="A21" s="556" t="s">
        <v>690</v>
      </c>
      <c r="B21" s="303">
        <v>0</v>
      </c>
      <c r="C21" s="302">
        <v>0</v>
      </c>
      <c r="D21" s="311"/>
      <c r="E21" s="311"/>
      <c r="F21" s="311"/>
    </row>
    <row r="22" spans="1:6" ht="22.5" hidden="1">
      <c r="A22" s="556" t="s">
        <v>702</v>
      </c>
      <c r="B22" s="303">
        <v>0</v>
      </c>
      <c r="C22" s="302">
        <v>0</v>
      </c>
      <c r="D22" s="311"/>
      <c r="E22" s="311"/>
      <c r="F22" s="311"/>
    </row>
    <row r="23" spans="1:6" ht="11.25" hidden="1">
      <c r="A23" s="321" t="s">
        <v>13</v>
      </c>
      <c r="B23" s="303">
        <v>0</v>
      </c>
      <c r="C23" s="302">
        <v>0</v>
      </c>
      <c r="D23" s="311"/>
      <c r="E23" s="311"/>
      <c r="F23" s="311"/>
    </row>
    <row r="24" spans="1:6" s="320" customFormat="1" ht="31.5">
      <c r="A24" s="317" t="s">
        <v>14</v>
      </c>
      <c r="B24" s="318">
        <f>SUM(B25:B29)</f>
        <v>122034</v>
      </c>
      <c r="C24" s="318">
        <f>SUM(C25:C29)</f>
        <v>91992</v>
      </c>
      <c r="D24" s="319"/>
      <c r="E24" s="319"/>
      <c r="F24" s="319"/>
    </row>
    <row r="25" spans="1:6" ht="22.5" hidden="1">
      <c r="A25" s="556" t="s">
        <v>635</v>
      </c>
      <c r="B25" s="303">
        <v>0</v>
      </c>
      <c r="C25" s="302">
        <v>0</v>
      </c>
      <c r="D25" s="311"/>
      <c r="E25" s="311"/>
      <c r="F25" s="311"/>
    </row>
    <row r="26" spans="1:6" ht="11.25" hidden="1">
      <c r="A26" s="556" t="s">
        <v>578</v>
      </c>
      <c r="B26" s="303">
        <v>0</v>
      </c>
      <c r="C26" s="302">
        <v>0</v>
      </c>
      <c r="D26" s="311"/>
      <c r="E26" s="311"/>
      <c r="F26" s="311"/>
    </row>
    <row r="27" spans="1:6" ht="22.5" hidden="1">
      <c r="A27" s="556" t="s">
        <v>691</v>
      </c>
      <c r="B27" s="303">
        <v>0</v>
      </c>
      <c r="C27" s="302">
        <v>0</v>
      </c>
      <c r="D27" s="311"/>
      <c r="E27" s="311"/>
      <c r="F27" s="311"/>
    </row>
    <row r="28" spans="1:6" ht="22.5">
      <c r="A28" s="556" t="s">
        <v>689</v>
      </c>
      <c r="B28" s="303">
        <v>122034</v>
      </c>
      <c r="C28" s="302">
        <v>91992</v>
      </c>
      <c r="D28" s="311"/>
      <c r="E28" s="311"/>
      <c r="F28" s="311"/>
    </row>
    <row r="29" spans="1:6" ht="22.5" hidden="1">
      <c r="A29" s="556" t="s">
        <v>692</v>
      </c>
      <c r="B29" s="303">
        <v>0</v>
      </c>
      <c r="C29" s="302">
        <v>0</v>
      </c>
      <c r="D29" s="311"/>
      <c r="E29" s="311"/>
      <c r="F29" s="311"/>
    </row>
    <row r="30" spans="1:6" ht="11.25">
      <c r="A30" s="322" t="s">
        <v>15</v>
      </c>
      <c r="B30" s="316">
        <f>B15+B16-B24</f>
        <v>9993491</v>
      </c>
      <c r="C30" s="316">
        <f>C15+C16-C24</f>
        <v>9048965</v>
      </c>
      <c r="D30" s="311"/>
      <c r="E30" s="311"/>
      <c r="F30" s="311"/>
    </row>
    <row r="31" spans="2:6" ht="11.25">
      <c r="B31" s="327">
        <f>B7-B30</f>
        <v>0</v>
      </c>
      <c r="C31" s="327">
        <f>C7-C30</f>
        <v>0</v>
      </c>
      <c r="D31" s="311"/>
      <c r="E31" s="311"/>
      <c r="F31" s="311"/>
    </row>
    <row r="32" spans="2:6" s="271" customFormat="1" ht="11.25">
      <c r="B32" s="368"/>
      <c r="C32" s="368"/>
      <c r="D32" s="446"/>
      <c r="E32" s="446"/>
      <c r="F32" s="446"/>
    </row>
    <row r="33" spans="1:6" ht="11.25">
      <c r="A33" s="305" t="s">
        <v>370</v>
      </c>
      <c r="D33" s="311"/>
      <c r="E33" s="311"/>
      <c r="F33" s="311"/>
    </row>
    <row r="34" spans="1:6" ht="11.25">
      <c r="A34" s="305"/>
      <c r="D34" s="311"/>
      <c r="E34" s="311"/>
      <c r="F34" s="311"/>
    </row>
    <row r="35" spans="1:6" ht="11.25">
      <c r="A35" s="301" t="s">
        <v>330</v>
      </c>
      <c r="B35" s="589">
        <f>'Dane podstawowe'!$B$9</f>
        <v>44926</v>
      </c>
      <c r="C35" s="589">
        <f>'Dane podstawowe'!$B$14</f>
        <v>44561</v>
      </c>
      <c r="D35" s="311"/>
      <c r="E35" s="311"/>
      <c r="F35" s="311"/>
    </row>
    <row r="36" spans="1:6" ht="11.25">
      <c r="A36" s="315" t="s">
        <v>9</v>
      </c>
      <c r="B36" s="316">
        <f>C45</f>
        <v>98598</v>
      </c>
      <c r="C36" s="304">
        <v>98598</v>
      </c>
      <c r="D36" s="311"/>
      <c r="E36" s="311"/>
      <c r="F36" s="311"/>
    </row>
    <row r="37" spans="1:6" s="320" customFormat="1" ht="31.5">
      <c r="A37" s="317" t="s">
        <v>10</v>
      </c>
      <c r="B37" s="318">
        <f>SUM(B38:B40)</f>
        <v>0</v>
      </c>
      <c r="C37" s="318">
        <f>SUM(C38:C40)</f>
        <v>0</v>
      </c>
      <c r="D37" s="319"/>
      <c r="E37" s="319"/>
      <c r="F37" s="319"/>
    </row>
    <row r="38" spans="1:6" ht="22.5" hidden="1">
      <c r="A38" s="556" t="s">
        <v>692</v>
      </c>
      <c r="B38" s="303">
        <v>0</v>
      </c>
      <c r="C38" s="302">
        <v>0</v>
      </c>
      <c r="D38" s="311"/>
      <c r="E38" s="311"/>
      <c r="F38" s="311"/>
    </row>
    <row r="39" spans="1:6" ht="11.25" hidden="1">
      <c r="A39" s="321" t="s">
        <v>488</v>
      </c>
      <c r="B39" s="303">
        <v>0</v>
      </c>
      <c r="C39" s="302">
        <v>0</v>
      </c>
      <c r="D39" s="311"/>
      <c r="E39" s="311"/>
      <c r="F39" s="311"/>
    </row>
    <row r="40" spans="1:6" ht="22.5" hidden="1">
      <c r="A40" s="556" t="s">
        <v>691</v>
      </c>
      <c r="B40" s="303">
        <v>0</v>
      </c>
      <c r="C40" s="302">
        <v>0</v>
      </c>
      <c r="D40" s="311"/>
      <c r="E40" s="311"/>
      <c r="F40" s="311"/>
    </row>
    <row r="41" spans="1:6" s="320" customFormat="1" ht="31.5">
      <c r="A41" s="317" t="s">
        <v>14</v>
      </c>
      <c r="B41" s="318">
        <f>SUM(B42:B44)</f>
        <v>98598</v>
      </c>
      <c r="C41" s="318">
        <f>SUM(C42:C44)</f>
        <v>0</v>
      </c>
      <c r="D41" s="319"/>
      <c r="E41" s="319"/>
      <c r="F41" s="319"/>
    </row>
    <row r="42" spans="1:6" ht="22.5">
      <c r="A42" s="556" t="s">
        <v>905</v>
      </c>
      <c r="B42" s="303">
        <v>98598</v>
      </c>
      <c r="C42" s="302">
        <v>0</v>
      </c>
      <c r="D42" s="311"/>
      <c r="E42" s="311"/>
      <c r="F42" s="311"/>
    </row>
    <row r="43" spans="1:6" ht="11.25" hidden="1">
      <c r="A43" s="321" t="s">
        <v>12</v>
      </c>
      <c r="B43" s="303">
        <v>0</v>
      </c>
      <c r="C43" s="302">
        <v>0</v>
      </c>
      <c r="D43" s="311"/>
      <c r="E43" s="311"/>
      <c r="F43" s="311"/>
    </row>
    <row r="44" spans="1:6" ht="11.25" hidden="1">
      <c r="A44" s="556" t="s">
        <v>578</v>
      </c>
      <c r="B44" s="303">
        <v>0</v>
      </c>
      <c r="C44" s="302"/>
      <c r="D44" s="311"/>
      <c r="E44" s="311"/>
      <c r="F44" s="311"/>
    </row>
    <row r="45" spans="1:6" ht="11.25">
      <c r="A45" s="322" t="s">
        <v>15</v>
      </c>
      <c r="B45" s="316">
        <f>B36+B37-B41</f>
        <v>0</v>
      </c>
      <c r="C45" s="316">
        <f>C36+C37-C41</f>
        <v>98598</v>
      </c>
      <c r="D45" s="311"/>
      <c r="E45" s="311"/>
      <c r="F45" s="311"/>
    </row>
    <row r="46" spans="2:3" ht="11.25">
      <c r="B46" s="327">
        <f>B8+B9-B45</f>
        <v>0</v>
      </c>
      <c r="C46" s="327">
        <f>C8+C9-C45</f>
        <v>0</v>
      </c>
    </row>
    <row r="47" ht="11.25">
      <c r="A47" s="74" t="s">
        <v>884</v>
      </c>
    </row>
    <row r="48" ht="11.25">
      <c r="A48" s="305"/>
    </row>
    <row r="49" spans="1:7" s="323" customFormat="1" ht="45">
      <c r="A49" s="219" t="s">
        <v>16</v>
      </c>
      <c r="B49" s="219" t="s">
        <v>17</v>
      </c>
      <c r="C49" s="219" t="s">
        <v>18</v>
      </c>
      <c r="D49" s="219" t="s">
        <v>19</v>
      </c>
      <c r="E49" s="219" t="s">
        <v>20</v>
      </c>
      <c r="F49" s="219" t="s">
        <v>21</v>
      </c>
      <c r="G49" s="219" t="s">
        <v>22</v>
      </c>
    </row>
    <row r="50" spans="1:7" ht="11.25">
      <c r="A50" s="65" t="s">
        <v>514</v>
      </c>
      <c r="B50" s="677">
        <v>2867601</v>
      </c>
      <c r="C50" s="677">
        <v>0</v>
      </c>
      <c r="D50" s="598">
        <f>B50+C50</f>
        <v>2867601</v>
      </c>
      <c r="E50" s="657">
        <v>100</v>
      </c>
      <c r="F50" s="657">
        <v>100</v>
      </c>
      <c r="G50" s="540" t="s">
        <v>515</v>
      </c>
    </row>
    <row r="51" spans="1:7" ht="11.25">
      <c r="A51" s="144" t="s">
        <v>623</v>
      </c>
      <c r="B51" s="677">
        <v>1307801</v>
      </c>
      <c r="C51" s="677">
        <v>-1291916</v>
      </c>
      <c r="D51" s="598">
        <f aca="true" t="shared" si="0" ref="D51:D56">B51+C51</f>
        <v>15885</v>
      </c>
      <c r="E51" s="657">
        <v>100</v>
      </c>
      <c r="F51" s="657">
        <v>100</v>
      </c>
      <c r="G51" s="540" t="s">
        <v>515</v>
      </c>
    </row>
    <row r="52" spans="1:7" ht="11.25">
      <c r="A52" s="144" t="s">
        <v>622</v>
      </c>
      <c r="B52" s="677">
        <v>1472085</v>
      </c>
      <c r="C52" s="677">
        <v>0</v>
      </c>
      <c r="D52" s="598">
        <f t="shared" si="0"/>
        <v>1472085</v>
      </c>
      <c r="E52" s="657">
        <v>12</v>
      </c>
      <c r="F52" s="657">
        <v>12</v>
      </c>
      <c r="G52" s="540" t="s">
        <v>515</v>
      </c>
    </row>
    <row r="53" spans="1:7" ht="11.25">
      <c r="A53" s="144" t="s">
        <v>624</v>
      </c>
      <c r="B53" s="677">
        <v>1975119</v>
      </c>
      <c r="C53" s="677">
        <v>0</v>
      </c>
      <c r="D53" s="598">
        <f t="shared" si="0"/>
        <v>1975119</v>
      </c>
      <c r="E53" s="657">
        <v>100</v>
      </c>
      <c r="F53" s="657">
        <v>100</v>
      </c>
      <c r="G53" s="540" t="s">
        <v>515</v>
      </c>
    </row>
    <row r="54" spans="1:7" ht="11.25">
      <c r="A54" s="144" t="s">
        <v>625</v>
      </c>
      <c r="B54" s="677">
        <v>3612301</v>
      </c>
      <c r="C54" s="677">
        <v>0</v>
      </c>
      <c r="D54" s="598">
        <f t="shared" si="0"/>
        <v>3612301</v>
      </c>
      <c r="E54" s="657">
        <v>95</v>
      </c>
      <c r="F54" s="657">
        <v>95</v>
      </c>
      <c r="G54" s="540" t="s">
        <v>515</v>
      </c>
    </row>
    <row r="55" spans="1:7" ht="11.25">
      <c r="A55" s="144" t="s">
        <v>831</v>
      </c>
      <c r="B55" s="677">
        <v>50500</v>
      </c>
      <c r="C55" s="677">
        <v>0</v>
      </c>
      <c r="D55" s="598">
        <f t="shared" si="0"/>
        <v>50500</v>
      </c>
      <c r="E55" s="657">
        <v>100</v>
      </c>
      <c r="F55" s="657">
        <v>100</v>
      </c>
      <c r="G55" s="540" t="s">
        <v>515</v>
      </c>
    </row>
    <row r="56" spans="1:7" ht="11.25">
      <c r="A56" s="144" t="s">
        <v>518</v>
      </c>
      <c r="B56" s="677">
        <v>5000</v>
      </c>
      <c r="C56" s="677">
        <v>-5000</v>
      </c>
      <c r="D56" s="598">
        <f t="shared" si="0"/>
        <v>0</v>
      </c>
      <c r="E56" s="657">
        <v>50</v>
      </c>
      <c r="F56" s="657">
        <v>50</v>
      </c>
      <c r="G56" s="540" t="s">
        <v>517</v>
      </c>
    </row>
    <row r="57" spans="1:7" ht="11.25">
      <c r="A57" s="541"/>
      <c r="B57" s="381"/>
      <c r="C57" s="382"/>
      <c r="D57" s="382"/>
      <c r="E57" s="376"/>
      <c r="F57" s="376"/>
      <c r="G57" s="542"/>
    </row>
    <row r="58" ht="11.25">
      <c r="A58" s="324"/>
    </row>
    <row r="59" spans="1:9" s="323" customFormat="1" ht="33.75">
      <c r="A59" s="219" t="s">
        <v>173</v>
      </c>
      <c r="B59" s="219" t="s">
        <v>196</v>
      </c>
      <c r="C59" s="219" t="s">
        <v>197</v>
      </c>
      <c r="D59" s="219" t="s">
        <v>23</v>
      </c>
      <c r="E59" s="219" t="s">
        <v>24</v>
      </c>
      <c r="F59" s="219" t="s">
        <v>25</v>
      </c>
      <c r="G59" s="219" t="s">
        <v>26</v>
      </c>
      <c r="H59" s="219" t="s">
        <v>27</v>
      </c>
      <c r="I59" s="219" t="s">
        <v>28</v>
      </c>
    </row>
    <row r="60" spans="1:9" s="323" customFormat="1" ht="11.25">
      <c r="A60" s="598">
        <f>SUM(B60:D60)</f>
        <v>5247529</v>
      </c>
      <c r="B60" s="677">
        <v>264500</v>
      </c>
      <c r="C60" s="677">
        <v>3424450</v>
      </c>
      <c r="D60" s="677">
        <v>1558579</v>
      </c>
      <c r="E60" s="598">
        <f>F60+G60</f>
        <v>11245909</v>
      </c>
      <c r="F60" s="677">
        <v>5919679</v>
      </c>
      <c r="G60" s="677">
        <v>5326230</v>
      </c>
      <c r="H60" s="677">
        <v>5998380</v>
      </c>
      <c r="I60" s="677">
        <v>23674648</v>
      </c>
    </row>
    <row r="61" spans="1:9" s="323" customFormat="1" ht="11.25">
      <c r="A61" s="598">
        <f aca="true" t="shared" si="1" ref="A61:A67">SUM(B61:D61)</f>
        <v>394593</v>
      </c>
      <c r="B61" s="677">
        <v>61950</v>
      </c>
      <c r="C61" s="677">
        <v>124832</v>
      </c>
      <c r="D61" s="677">
        <v>207811</v>
      </c>
      <c r="E61" s="598">
        <f aca="true" t="shared" si="2" ref="E61:E67">F61+G61</f>
        <v>1908373</v>
      </c>
      <c r="F61" s="677">
        <v>226223</v>
      </c>
      <c r="G61" s="677">
        <v>1682150</v>
      </c>
      <c r="H61" s="677">
        <v>1513780</v>
      </c>
      <c r="I61" s="677">
        <v>5874834</v>
      </c>
    </row>
    <row r="62" spans="1:9" ht="11.25">
      <c r="A62" s="598">
        <f t="shared" si="1"/>
        <v>924753</v>
      </c>
      <c r="B62" s="677">
        <v>56150</v>
      </c>
      <c r="C62" s="677">
        <v>794498</v>
      </c>
      <c r="D62" s="677">
        <v>74105</v>
      </c>
      <c r="E62" s="598">
        <f t="shared" si="2"/>
        <v>1719277</v>
      </c>
      <c r="F62" s="677">
        <v>562823</v>
      </c>
      <c r="G62" s="677">
        <v>1156454</v>
      </c>
      <c r="H62" s="677">
        <v>794524</v>
      </c>
      <c r="I62" s="677">
        <v>4923885</v>
      </c>
    </row>
    <row r="63" spans="1:9" ht="11.25">
      <c r="A63" s="598">
        <f t="shared" si="1"/>
        <v>2233481</v>
      </c>
      <c r="B63" s="677">
        <v>5184800</v>
      </c>
      <c r="C63" s="677">
        <v>-2278816</v>
      </c>
      <c r="D63" s="677">
        <v>-672503</v>
      </c>
      <c r="E63" s="598">
        <f t="shared" si="2"/>
        <v>6426907</v>
      </c>
      <c r="F63" s="677">
        <v>2169512</v>
      </c>
      <c r="G63" s="677">
        <v>4257395</v>
      </c>
      <c r="H63" s="677">
        <v>4193426</v>
      </c>
      <c r="I63" s="677">
        <v>20038054</v>
      </c>
    </row>
    <row r="64" spans="1:9" ht="11.25">
      <c r="A64" s="598">
        <f t="shared" si="1"/>
        <v>4006002</v>
      </c>
      <c r="B64" s="677">
        <v>10000000</v>
      </c>
      <c r="C64" s="677">
        <v>-7805503</v>
      </c>
      <c r="D64" s="677">
        <v>1811505</v>
      </c>
      <c r="E64" s="598">
        <f t="shared" si="2"/>
        <v>8628392</v>
      </c>
      <c r="F64" s="677">
        <v>1238912</v>
      </c>
      <c r="G64" s="677">
        <v>7389480</v>
      </c>
      <c r="H64" s="677">
        <v>4622390</v>
      </c>
      <c r="I64" s="677">
        <v>24507701</v>
      </c>
    </row>
    <row r="65" spans="1:9" ht="11.25">
      <c r="A65" s="598">
        <f t="shared" si="1"/>
        <v>-238447</v>
      </c>
      <c r="B65" s="677">
        <v>50000</v>
      </c>
      <c r="C65" s="677">
        <v>-52293</v>
      </c>
      <c r="D65" s="677">
        <v>-236154</v>
      </c>
      <c r="E65" s="598">
        <f t="shared" si="2"/>
        <v>180974</v>
      </c>
      <c r="F65" s="677">
        <v>5984</v>
      </c>
      <c r="G65" s="677">
        <v>174990</v>
      </c>
      <c r="H65" s="677">
        <v>419421</v>
      </c>
      <c r="I65" s="677">
        <v>347613</v>
      </c>
    </row>
    <row r="66" spans="1:9" ht="11.25" hidden="1">
      <c r="A66" s="598">
        <f t="shared" si="1"/>
        <v>-289969</v>
      </c>
      <c r="B66" s="672">
        <v>115370</v>
      </c>
      <c r="C66" s="672">
        <f>-386914-18425</f>
        <v>-405339</v>
      </c>
      <c r="D66" s="672">
        <v>0</v>
      </c>
      <c r="E66" s="598">
        <f t="shared" si="2"/>
        <v>456</v>
      </c>
      <c r="F66" s="672">
        <v>0</v>
      </c>
      <c r="G66" s="672">
        <v>456</v>
      </c>
      <c r="H66" s="672">
        <v>290425</v>
      </c>
      <c r="I66" s="672">
        <v>0</v>
      </c>
    </row>
    <row r="67" spans="1:9" ht="11.25">
      <c r="A67" s="598">
        <f t="shared" si="1"/>
        <v>-522</v>
      </c>
      <c r="B67" s="677">
        <v>10000</v>
      </c>
      <c r="C67" s="677">
        <v>-15888</v>
      </c>
      <c r="D67" s="677">
        <v>5366</v>
      </c>
      <c r="E67" s="598">
        <f t="shared" si="2"/>
        <v>1316</v>
      </c>
      <c r="F67" s="677">
        <v>512</v>
      </c>
      <c r="G67" s="677">
        <v>804</v>
      </c>
      <c r="H67" s="677">
        <v>1838</v>
      </c>
      <c r="I67" s="677">
        <v>0</v>
      </c>
    </row>
    <row r="68" ht="11.25">
      <c r="A68" s="325"/>
    </row>
    <row r="69" ht="11.25">
      <c r="A69" s="74" t="s">
        <v>809</v>
      </c>
    </row>
    <row r="70" ht="11.25">
      <c r="A70" s="305"/>
    </row>
    <row r="71" spans="1:9" ht="45">
      <c r="A71" s="219" t="s">
        <v>16</v>
      </c>
      <c r="B71" s="219" t="s">
        <v>17</v>
      </c>
      <c r="C71" s="219" t="s">
        <v>18</v>
      </c>
      <c r="D71" s="219" t="s">
        <v>19</v>
      </c>
      <c r="E71" s="219" t="s">
        <v>20</v>
      </c>
      <c r="F71" s="219" t="s">
        <v>21</v>
      </c>
      <c r="G71" s="219" t="s">
        <v>22</v>
      </c>
      <c r="H71" s="323"/>
      <c r="I71" s="323"/>
    </row>
    <row r="72" spans="1:7" ht="11.25">
      <c r="A72" s="65" t="s">
        <v>514</v>
      </c>
      <c r="B72" s="598">
        <v>2867601</v>
      </c>
      <c r="C72" s="598">
        <v>0</v>
      </c>
      <c r="D72" s="598">
        <f>B72+C72</f>
        <v>2867601</v>
      </c>
      <c r="E72" s="540">
        <v>100</v>
      </c>
      <c r="F72" s="540">
        <v>100</v>
      </c>
      <c r="G72" s="540" t="s">
        <v>515</v>
      </c>
    </row>
    <row r="73" spans="1:7" ht="11.25">
      <c r="A73" s="144" t="s">
        <v>623</v>
      </c>
      <c r="B73" s="598">
        <v>1307801</v>
      </c>
      <c r="C73" s="598">
        <v>-1291916</v>
      </c>
      <c r="D73" s="598">
        <f aca="true" t="shared" si="3" ref="D73:D79">B73+C73</f>
        <v>15885</v>
      </c>
      <c r="E73" s="540">
        <v>100</v>
      </c>
      <c r="F73" s="540">
        <v>100</v>
      </c>
      <c r="G73" s="540" t="s">
        <v>515</v>
      </c>
    </row>
    <row r="74" spans="1:7" ht="11.25">
      <c r="A74" s="144" t="s">
        <v>622</v>
      </c>
      <c r="B74" s="598">
        <v>1472085</v>
      </c>
      <c r="C74" s="598">
        <v>0</v>
      </c>
      <c r="D74" s="598">
        <f t="shared" si="3"/>
        <v>1472085</v>
      </c>
      <c r="E74" s="540">
        <v>12</v>
      </c>
      <c r="F74" s="540">
        <v>12</v>
      </c>
      <c r="G74" s="540" t="s">
        <v>515</v>
      </c>
    </row>
    <row r="75" spans="1:7" ht="11.25">
      <c r="A75" s="144" t="s">
        <v>624</v>
      </c>
      <c r="B75" s="598">
        <v>1975119</v>
      </c>
      <c r="C75" s="598">
        <v>0</v>
      </c>
      <c r="D75" s="598">
        <f t="shared" si="3"/>
        <v>1975119</v>
      </c>
      <c r="E75" s="540">
        <v>100</v>
      </c>
      <c r="F75" s="540">
        <v>100</v>
      </c>
      <c r="G75" s="540" t="s">
        <v>515</v>
      </c>
    </row>
    <row r="76" spans="1:7" ht="11.25">
      <c r="A76" s="144" t="s">
        <v>625</v>
      </c>
      <c r="B76" s="598">
        <v>2759766</v>
      </c>
      <c r="C76" s="598">
        <v>0</v>
      </c>
      <c r="D76" s="598">
        <f t="shared" si="3"/>
        <v>2759766</v>
      </c>
      <c r="E76" s="657">
        <v>90</v>
      </c>
      <c r="F76" s="657">
        <v>90</v>
      </c>
      <c r="G76" s="540" t="s">
        <v>515</v>
      </c>
    </row>
    <row r="77" spans="1:7" ht="11.25">
      <c r="A77" s="144" t="s">
        <v>831</v>
      </c>
      <c r="B77" s="598">
        <v>50500</v>
      </c>
      <c r="C77" s="598">
        <v>0</v>
      </c>
      <c r="D77" s="598">
        <f t="shared" si="3"/>
        <v>50500</v>
      </c>
      <c r="E77" s="657">
        <v>100</v>
      </c>
      <c r="F77" s="657">
        <v>100</v>
      </c>
      <c r="G77" s="540" t="s">
        <v>515</v>
      </c>
    </row>
    <row r="78" spans="1:7" ht="11.25">
      <c r="A78" s="144" t="s">
        <v>516</v>
      </c>
      <c r="B78" s="598">
        <v>105075</v>
      </c>
      <c r="C78" s="598">
        <v>-105075</v>
      </c>
      <c r="D78" s="598">
        <f t="shared" si="3"/>
        <v>0</v>
      </c>
      <c r="E78" s="540">
        <v>100</v>
      </c>
      <c r="F78" s="540">
        <v>100</v>
      </c>
      <c r="G78" s="540" t="s">
        <v>517</v>
      </c>
    </row>
    <row r="79" spans="1:7" ht="11.25">
      <c r="A79" s="144" t="s">
        <v>518</v>
      </c>
      <c r="B79" s="598">
        <v>5000</v>
      </c>
      <c r="C79" s="598">
        <v>-5000</v>
      </c>
      <c r="D79" s="598">
        <f t="shared" si="3"/>
        <v>0</v>
      </c>
      <c r="E79" s="540">
        <v>50</v>
      </c>
      <c r="F79" s="540">
        <v>50</v>
      </c>
      <c r="G79" s="540" t="s">
        <v>517</v>
      </c>
    </row>
    <row r="80" ht="11.25">
      <c r="A80" s="324"/>
    </row>
    <row r="81" spans="1:9" ht="33.75">
      <c r="A81" s="219" t="s">
        <v>173</v>
      </c>
      <c r="B81" s="219" t="s">
        <v>196</v>
      </c>
      <c r="C81" s="219" t="s">
        <v>197</v>
      </c>
      <c r="D81" s="219" t="s">
        <v>23</v>
      </c>
      <c r="E81" s="219" t="s">
        <v>24</v>
      </c>
      <c r="F81" s="219" t="s">
        <v>25</v>
      </c>
      <c r="G81" s="219" t="s">
        <v>26</v>
      </c>
      <c r="H81" s="219" t="s">
        <v>27</v>
      </c>
      <c r="I81" s="219" t="s">
        <v>28</v>
      </c>
    </row>
    <row r="82" spans="1:9" ht="11.25">
      <c r="A82" s="598">
        <f>SUM(B82:D82)</f>
        <v>5688949</v>
      </c>
      <c r="B82" s="598">
        <v>264500</v>
      </c>
      <c r="C82" s="598">
        <f>7056662-2500000</f>
        <v>4556662</v>
      </c>
      <c r="D82" s="598">
        <v>867787</v>
      </c>
      <c r="E82" s="598">
        <f>F82+G82</f>
        <v>12282211</v>
      </c>
      <c r="F82" s="598">
        <v>6356994</v>
      </c>
      <c r="G82" s="598">
        <v>5925217</v>
      </c>
      <c r="H82" s="598">
        <v>6593262</v>
      </c>
      <c r="I82" s="598">
        <v>21692734</v>
      </c>
    </row>
    <row r="83" spans="1:9" ht="11.25">
      <c r="A83" s="598">
        <f aca="true" t="shared" si="4" ref="A83:A89">SUM(B83:D83)</f>
        <v>186782</v>
      </c>
      <c r="B83" s="598">
        <v>61950</v>
      </c>
      <c r="C83" s="598">
        <v>-227136</v>
      </c>
      <c r="D83" s="598">
        <v>351968</v>
      </c>
      <c r="E83" s="598">
        <f aca="true" t="shared" si="5" ref="E83:E89">F83+G83</f>
        <v>2500287</v>
      </c>
      <c r="F83" s="598">
        <v>234263</v>
      </c>
      <c r="G83" s="598">
        <v>2266024</v>
      </c>
      <c r="H83" s="598">
        <v>2313505</v>
      </c>
      <c r="I83" s="598">
        <v>9857198</v>
      </c>
    </row>
    <row r="84" spans="1:9" ht="11.25">
      <c r="A84" s="598">
        <f t="shared" si="4"/>
        <v>990274</v>
      </c>
      <c r="B84" s="598">
        <v>56150</v>
      </c>
      <c r="C84" s="598">
        <v>754525</v>
      </c>
      <c r="D84" s="598">
        <v>179599</v>
      </c>
      <c r="E84" s="598">
        <f t="shared" si="5"/>
        <v>2005455</v>
      </c>
      <c r="F84" s="598">
        <v>905303</v>
      </c>
      <c r="G84" s="598">
        <v>1100152</v>
      </c>
      <c r="H84" s="598">
        <v>1015181</v>
      </c>
      <c r="I84" s="598">
        <v>5010807</v>
      </c>
    </row>
    <row r="85" spans="1:9" ht="11.25">
      <c r="A85" s="598">
        <f t="shared" si="4"/>
        <v>2905984</v>
      </c>
      <c r="B85" s="598">
        <v>5184800</v>
      </c>
      <c r="C85" s="598">
        <v>-3236216</v>
      </c>
      <c r="D85" s="598">
        <v>957400</v>
      </c>
      <c r="E85" s="598">
        <f t="shared" si="5"/>
        <v>6251891</v>
      </c>
      <c r="F85" s="598">
        <v>2516307</v>
      </c>
      <c r="G85" s="598">
        <v>3735584</v>
      </c>
      <c r="H85" s="598">
        <v>3345907</v>
      </c>
      <c r="I85" s="598">
        <v>11117617</v>
      </c>
    </row>
    <row r="86" spans="1:9" ht="11.25">
      <c r="A86" s="598">
        <f t="shared" si="4"/>
        <v>2194497</v>
      </c>
      <c r="B86" s="598">
        <v>10000000</v>
      </c>
      <c r="C86" s="598">
        <v>-8108574</v>
      </c>
      <c r="D86" s="598">
        <v>303071</v>
      </c>
      <c r="E86" s="598">
        <f t="shared" si="5"/>
        <v>5839897</v>
      </c>
      <c r="F86" s="598">
        <v>690180</v>
      </c>
      <c r="G86" s="598">
        <v>5149717</v>
      </c>
      <c r="H86" s="598">
        <v>3645400</v>
      </c>
      <c r="I86" s="598">
        <v>18775236</v>
      </c>
    </row>
    <row r="87" spans="1:9" ht="11.25">
      <c r="A87" s="598">
        <f t="shared" si="4"/>
        <v>-2293</v>
      </c>
      <c r="B87" s="598">
        <v>50000</v>
      </c>
      <c r="C87" s="598">
        <v>0</v>
      </c>
      <c r="D87" s="598">
        <v>-52293</v>
      </c>
      <c r="E87" s="598">
        <f t="shared" si="5"/>
        <v>197728</v>
      </c>
      <c r="F87" s="598">
        <v>7766</v>
      </c>
      <c r="G87" s="598">
        <v>189962</v>
      </c>
      <c r="H87" s="598">
        <v>200021</v>
      </c>
      <c r="I87" s="598">
        <v>17886</v>
      </c>
    </row>
    <row r="88" spans="1:9" ht="11.25">
      <c r="A88" s="598">
        <f t="shared" si="4"/>
        <v>-289969</v>
      </c>
      <c r="B88" s="598">
        <v>115370</v>
      </c>
      <c r="C88" s="598">
        <f>-386914-18425</f>
        <v>-405339</v>
      </c>
      <c r="D88" s="598">
        <v>0</v>
      </c>
      <c r="E88" s="598">
        <f t="shared" si="5"/>
        <v>456</v>
      </c>
      <c r="F88" s="598">
        <v>0</v>
      </c>
      <c r="G88" s="598">
        <v>456</v>
      </c>
      <c r="H88" s="598">
        <v>290425</v>
      </c>
      <c r="I88" s="598">
        <v>0</v>
      </c>
    </row>
    <row r="89" spans="1:9" ht="11.25">
      <c r="A89" s="598">
        <f t="shared" si="4"/>
        <v>-5888</v>
      </c>
      <c r="B89" s="658">
        <v>10000</v>
      </c>
      <c r="C89" s="658">
        <v>-21776</v>
      </c>
      <c r="D89" s="658">
        <v>5888</v>
      </c>
      <c r="E89" s="598">
        <f t="shared" si="5"/>
        <v>11428</v>
      </c>
      <c r="F89" s="658">
        <v>1160</v>
      </c>
      <c r="G89" s="658">
        <v>10268</v>
      </c>
      <c r="H89" s="658">
        <v>17316</v>
      </c>
      <c r="I89" s="658">
        <v>0</v>
      </c>
    </row>
    <row r="90" ht="11.25">
      <c r="A90" s="325"/>
    </row>
    <row r="91" spans="1:4" ht="11.25">
      <c r="A91" s="74" t="s">
        <v>885</v>
      </c>
      <c r="D91" s="306" t="s">
        <v>886</v>
      </c>
    </row>
    <row r="92" ht="11.25">
      <c r="A92" s="305"/>
    </row>
    <row r="93" spans="1:9" ht="11.25" hidden="1">
      <c r="A93" s="312"/>
      <c r="B93" s="275"/>
      <c r="C93" s="275"/>
      <c r="D93" s="275"/>
      <c r="E93" s="275"/>
      <c r="F93" s="275"/>
      <c r="G93" s="275"/>
      <c r="H93" s="310"/>
      <c r="I93" s="310"/>
    </row>
    <row r="94" spans="1:9" ht="11.25" hidden="1">
      <c r="A94" s="312"/>
      <c r="B94" s="275"/>
      <c r="C94" s="275"/>
      <c r="D94" s="275"/>
      <c r="E94" s="275"/>
      <c r="F94" s="275"/>
      <c r="G94" s="275"/>
      <c r="H94" s="310"/>
      <c r="I94" s="310"/>
    </row>
    <row r="95" ht="11.25">
      <c r="A95" s="325"/>
    </row>
    <row r="96" ht="11.25">
      <c r="A96" s="305"/>
    </row>
    <row r="97" ht="11.25">
      <c r="A97" s="74" t="s">
        <v>810</v>
      </c>
    </row>
    <row r="98" spans="1:9" s="323" customFormat="1" ht="11.25">
      <c r="A98" s="305"/>
      <c r="B98" s="306"/>
      <c r="C98" s="306"/>
      <c r="D98" s="306"/>
      <c r="E98" s="306"/>
      <c r="F98" s="306"/>
      <c r="G98" s="306"/>
      <c r="H98" s="306"/>
      <c r="I98" s="306"/>
    </row>
    <row r="99" spans="1:9" ht="45">
      <c r="A99" s="219" t="s">
        <v>16</v>
      </c>
      <c r="B99" s="219" t="s">
        <v>17</v>
      </c>
      <c r="C99" s="219" t="s">
        <v>18</v>
      </c>
      <c r="D99" s="219" t="s">
        <v>19</v>
      </c>
      <c r="E99" s="219" t="s">
        <v>20</v>
      </c>
      <c r="F99" s="219" t="s">
        <v>21</v>
      </c>
      <c r="G99" s="722" t="s">
        <v>700</v>
      </c>
      <c r="H99" s="723"/>
      <c r="I99" s="323"/>
    </row>
    <row r="100" spans="1:8" ht="12.75">
      <c r="A100" s="144" t="s">
        <v>626</v>
      </c>
      <c r="B100" s="307">
        <v>278851</v>
      </c>
      <c r="C100" s="307">
        <v>-180253</v>
      </c>
      <c r="D100" s="275">
        <f>B100+C100</f>
        <v>98598</v>
      </c>
      <c r="E100" s="540">
        <v>100</v>
      </c>
      <c r="F100" s="540">
        <v>40</v>
      </c>
      <c r="G100" s="724" t="s">
        <v>701</v>
      </c>
      <c r="H100" s="725"/>
    </row>
    <row r="101" ht="11.25">
      <c r="A101" s="325"/>
    </row>
    <row r="102" ht="11.25">
      <c r="A102" s="325"/>
    </row>
    <row r="103" spans="1:9" ht="33.75">
      <c r="A103" s="219" t="s">
        <v>173</v>
      </c>
      <c r="B103" s="219" t="s">
        <v>196</v>
      </c>
      <c r="C103" s="219" t="s">
        <v>197</v>
      </c>
      <c r="D103" s="219" t="s">
        <v>23</v>
      </c>
      <c r="E103" s="219" t="s">
        <v>24</v>
      </c>
      <c r="F103" s="219" t="s">
        <v>25</v>
      </c>
      <c r="G103" s="219" t="s">
        <v>26</v>
      </c>
      <c r="H103" s="219" t="s">
        <v>27</v>
      </c>
      <c r="I103" s="219" t="s">
        <v>28</v>
      </c>
    </row>
    <row r="104" spans="1:9" s="323" customFormat="1" ht="11.25">
      <c r="A104" s="310">
        <f>B104+C104+D104</f>
        <v>41007</v>
      </c>
      <c r="B104" s="659">
        <v>150000</v>
      </c>
      <c r="C104" s="659">
        <v>96339</v>
      </c>
      <c r="D104" s="659">
        <v>-205332</v>
      </c>
      <c r="E104" s="275">
        <f>F104+G104</f>
        <v>833975</v>
      </c>
      <c r="F104" s="275">
        <v>205012</v>
      </c>
      <c r="G104" s="659">
        <v>628963</v>
      </c>
      <c r="H104" s="660">
        <v>792968</v>
      </c>
      <c r="I104" s="660">
        <v>1926476</v>
      </c>
    </row>
    <row r="118" spans="1:3" s="481" customFormat="1" ht="12.75" hidden="1">
      <c r="A118" s="502" t="s">
        <v>512</v>
      </c>
      <c r="B118" s="477"/>
      <c r="C118" s="477"/>
    </row>
    <row r="119" spans="1:3" s="271" customFormat="1" ht="11.25" hidden="1">
      <c r="A119" s="325"/>
      <c r="B119" s="306"/>
      <c r="C119" s="306"/>
    </row>
    <row r="120" spans="1:3" s="271" customFormat="1" ht="11.25" hidden="1">
      <c r="A120" s="332"/>
      <c r="B120" s="281">
        <f>'Dane podstawowe'!$B$9</f>
        <v>44926</v>
      </c>
      <c r="C120" s="281">
        <f>'Dane podstawowe'!$B$14</f>
        <v>44561</v>
      </c>
    </row>
    <row r="121" spans="1:3" s="271" customFormat="1" ht="22.5" hidden="1">
      <c r="A121" s="313" t="s">
        <v>35</v>
      </c>
      <c r="B121" s="383"/>
      <c r="C121" s="383"/>
    </row>
    <row r="122" spans="1:3" s="271" customFormat="1" ht="22.5" hidden="1">
      <c r="A122" s="313" t="s">
        <v>36</v>
      </c>
      <c r="B122" s="275"/>
      <c r="C122" s="275"/>
    </row>
    <row r="123" spans="1:3" s="271" customFormat="1" ht="22.5" hidden="1">
      <c r="A123" s="313" t="s">
        <v>37</v>
      </c>
      <c r="B123" s="275"/>
      <c r="C123" s="275"/>
    </row>
    <row r="124" spans="1:3" s="271" customFormat="1" ht="11.25" hidden="1">
      <c r="A124" s="313" t="s">
        <v>65</v>
      </c>
      <c r="B124" s="275"/>
      <c r="C124" s="275"/>
    </row>
    <row r="125" spans="1:3" s="271" customFormat="1" ht="11.25" hidden="1">
      <c r="A125" s="333" t="s">
        <v>38</v>
      </c>
      <c r="B125" s="345">
        <f>SUM(B121:B124)</f>
        <v>0</v>
      </c>
      <c r="C125" s="345">
        <f>SUM(C121:C124)</f>
        <v>0</v>
      </c>
    </row>
    <row r="126" spans="2:3" s="271" customFormat="1" ht="11.25" hidden="1">
      <c r="B126" s="327">
        <f>Aktywa!D13-'NOTA 12 - Inw. w jedn. podporz.'!B125</f>
        <v>0</v>
      </c>
      <c r="C126" s="327" t="e">
        <f>Aktywa!#REF!-'NOTA 12 - Inw. w jedn. podporz.'!C125</f>
        <v>#REF!</v>
      </c>
    </row>
  </sheetData>
  <sheetProtection/>
  <mergeCells count="3">
    <mergeCell ref="A4:J4"/>
    <mergeCell ref="G99:H99"/>
    <mergeCell ref="G100:H100"/>
  </mergeCells>
  <printOptions/>
  <pageMargins left="0.75" right="0.75" top="1" bottom="1" header="0.5" footer="0.5"/>
  <pageSetup horizontalDpi="600" verticalDpi="600" orientation="portrait" paperSize="9" scale="61" r:id="rId1"/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E79"/>
  <sheetViews>
    <sheetView showGridLines="0" zoomScale="98" zoomScaleNormal="98" zoomScaleSheetLayoutView="90" zoomScalePageLayoutView="0" workbookViewId="0" topLeftCell="A60">
      <selection activeCell="E37" sqref="E37"/>
    </sheetView>
  </sheetViews>
  <sheetFormatPr defaultColWidth="9.28125" defaultRowHeight="12.75"/>
  <cols>
    <col min="1" max="1" width="47.421875" style="271" customWidth="1"/>
    <col min="2" max="3" width="14.28125" style="271" customWidth="1"/>
    <col min="4" max="4" width="12.28125" style="271" customWidth="1"/>
    <col min="5" max="5" width="14.57421875" style="271" bestFit="1" customWidth="1"/>
    <col min="6" max="6" width="11.57421875" style="271" customWidth="1"/>
    <col min="7" max="7" width="13.00390625" style="271" customWidth="1"/>
    <col min="8" max="16384" width="9.28125" style="271" customWidth="1"/>
  </cols>
  <sheetData>
    <row r="2" s="279" customFormat="1" ht="12.75">
      <c r="A2" s="467" t="s">
        <v>543</v>
      </c>
    </row>
    <row r="3" spans="2:3" s="279" customFormat="1" ht="11.25">
      <c r="B3" s="726"/>
      <c r="C3" s="726"/>
    </row>
    <row r="4" spans="1:3" s="329" customFormat="1" ht="11.25">
      <c r="A4" s="146" t="s">
        <v>371</v>
      </c>
      <c r="B4" s="589">
        <f>'Dane podstawowe'!$B$9</f>
        <v>44926</v>
      </c>
      <c r="C4" s="589">
        <f>'Dane podstawowe'!$B$14</f>
        <v>44561</v>
      </c>
    </row>
    <row r="5" spans="1:3" s="279" customFormat="1" ht="11.25">
      <c r="A5" s="330" t="s">
        <v>29</v>
      </c>
      <c r="B5" s="288">
        <v>0</v>
      </c>
      <c r="C5" s="288">
        <v>212778</v>
      </c>
    </row>
    <row r="6" spans="1:3" s="279" customFormat="1" ht="11.25">
      <c r="A6" s="330" t="s">
        <v>30</v>
      </c>
      <c r="B6" s="288">
        <v>0</v>
      </c>
      <c r="C6" s="288">
        <v>0</v>
      </c>
    </row>
    <row r="7" spans="1:3" s="279" customFormat="1" ht="12.75" customHeight="1" hidden="1">
      <c r="A7" s="330" t="s">
        <v>476</v>
      </c>
      <c r="B7" s="288">
        <v>0</v>
      </c>
      <c r="C7" s="288">
        <v>0</v>
      </c>
    </row>
    <row r="8" spans="1:3" s="279" customFormat="1" ht="11.25" hidden="1">
      <c r="A8" s="330" t="s">
        <v>31</v>
      </c>
      <c r="B8" s="288">
        <v>0</v>
      </c>
      <c r="C8" s="288">
        <v>0</v>
      </c>
    </row>
    <row r="9" spans="1:3" s="279" customFormat="1" ht="11.25" hidden="1">
      <c r="A9" s="330" t="s">
        <v>32</v>
      </c>
      <c r="B9" s="288">
        <v>0</v>
      </c>
      <c r="C9" s="288">
        <v>0</v>
      </c>
    </row>
    <row r="10" spans="1:3" s="279" customFormat="1" ht="11.25" hidden="1">
      <c r="A10" s="86" t="s">
        <v>400</v>
      </c>
      <c r="B10" s="288">
        <v>0</v>
      </c>
      <c r="C10" s="288">
        <v>0</v>
      </c>
    </row>
    <row r="11" spans="1:3" s="279" customFormat="1" ht="11.25" hidden="1">
      <c r="A11" s="86" t="s">
        <v>401</v>
      </c>
      <c r="B11" s="288">
        <v>0</v>
      </c>
      <c r="C11" s="288">
        <v>0</v>
      </c>
    </row>
    <row r="12" spans="1:3" s="279" customFormat="1" ht="11.25" hidden="1">
      <c r="A12" s="330" t="s">
        <v>33</v>
      </c>
      <c r="B12" s="288">
        <v>0</v>
      </c>
      <c r="C12" s="288">
        <v>0</v>
      </c>
    </row>
    <row r="13" spans="1:3" s="279" customFormat="1" ht="11.25">
      <c r="A13" s="331" t="s">
        <v>339</v>
      </c>
      <c r="B13" s="283">
        <f>B5+SUM(B7:B12)</f>
        <v>0</v>
      </c>
      <c r="C13" s="283">
        <f>C5+SUM(C7:C12)</f>
        <v>212778</v>
      </c>
    </row>
    <row r="14" spans="2:3" s="279" customFormat="1" ht="11.25">
      <c r="B14" s="341">
        <f>Aktywa!D10-'NOTA 13- Pozostałe aktywa finan'!B13</f>
        <v>0</v>
      </c>
      <c r="C14" s="341">
        <f>Aktywa!E10-'NOTA 13- Pozostałe aktywa finan'!C13</f>
        <v>0</v>
      </c>
    </row>
    <row r="15" spans="2:3" s="279" customFormat="1" ht="11.25">
      <c r="B15" s="726"/>
      <c r="C15" s="726"/>
    </row>
    <row r="16" spans="1:3" s="329" customFormat="1" ht="11.25">
      <c r="A16" s="96" t="s">
        <v>116</v>
      </c>
      <c r="B16" s="589">
        <f>'Dane podstawowe'!$B$9</f>
        <v>44926</v>
      </c>
      <c r="C16" s="589">
        <f>'Dane podstawowe'!$B$14</f>
        <v>44561</v>
      </c>
    </row>
    <row r="17" spans="1:3" s="279" customFormat="1" ht="11.25">
      <c r="A17" s="330" t="s">
        <v>29</v>
      </c>
      <c r="B17" s="288">
        <v>384350</v>
      </c>
      <c r="C17" s="288">
        <v>608060</v>
      </c>
    </row>
    <row r="18" spans="1:3" s="279" customFormat="1" ht="11.25">
      <c r="A18" s="330" t="s">
        <v>30</v>
      </c>
      <c r="B18" s="288">
        <v>0</v>
      </c>
      <c r="C18" s="288">
        <v>0</v>
      </c>
    </row>
    <row r="19" spans="1:3" s="279" customFormat="1" ht="12.75" customHeight="1" hidden="1">
      <c r="A19" s="330" t="s">
        <v>476</v>
      </c>
      <c r="B19" s="288">
        <v>0</v>
      </c>
      <c r="C19" s="288">
        <v>0</v>
      </c>
    </row>
    <row r="20" spans="1:3" s="279" customFormat="1" ht="11.25" hidden="1">
      <c r="A20" s="330" t="s">
        <v>31</v>
      </c>
      <c r="B20" s="288">
        <v>0</v>
      </c>
      <c r="C20" s="288">
        <v>0</v>
      </c>
    </row>
    <row r="21" spans="1:3" s="279" customFormat="1" ht="11.25" hidden="1">
      <c r="A21" s="330" t="s">
        <v>32</v>
      </c>
      <c r="B21" s="288">
        <v>0</v>
      </c>
      <c r="C21" s="288">
        <v>0</v>
      </c>
    </row>
    <row r="22" spans="1:3" s="279" customFormat="1" ht="11.25" hidden="1">
      <c r="A22" s="153" t="s">
        <v>402</v>
      </c>
      <c r="B22" s="288">
        <v>0</v>
      </c>
      <c r="C22" s="288">
        <v>0</v>
      </c>
    </row>
    <row r="23" spans="1:3" s="279" customFormat="1" ht="11.25" hidden="1">
      <c r="A23" s="330" t="s">
        <v>33</v>
      </c>
      <c r="B23" s="288">
        <v>0</v>
      </c>
      <c r="C23" s="288">
        <v>0</v>
      </c>
    </row>
    <row r="24" spans="1:3" s="279" customFormat="1" ht="11.25">
      <c r="A24" s="331" t="s">
        <v>339</v>
      </c>
      <c r="B24" s="283">
        <f>B17+SUM(B19:B23)</f>
        <v>384350</v>
      </c>
      <c r="C24" s="283">
        <f>C17+SUM(C19:C23)</f>
        <v>608060</v>
      </c>
    </row>
    <row r="25" spans="2:3" s="279" customFormat="1" ht="11.25">
      <c r="B25" s="341">
        <f>Aktywa!D21-'NOTA 13- Pozostałe aktywa finan'!B24</f>
        <v>0</v>
      </c>
      <c r="C25" s="341">
        <f>Aktywa!E21-'NOTA 13- Pozostałe aktywa finan'!C24</f>
        <v>0</v>
      </c>
    </row>
    <row r="27" s="46" customFormat="1" ht="12.75">
      <c r="A27" s="166" t="s">
        <v>54</v>
      </c>
    </row>
    <row r="28" s="46" customFormat="1" ht="12.75">
      <c r="A28" s="165"/>
    </row>
    <row r="29" spans="1:3" s="46" customFormat="1" ht="12.75">
      <c r="A29" s="168"/>
      <c r="B29" s="586">
        <f>'Dane podstawowe'!$B$9</f>
        <v>44926</v>
      </c>
      <c r="C29" s="586">
        <f>'Dane podstawowe'!$B$14</f>
        <v>44561</v>
      </c>
    </row>
    <row r="30" spans="1:3" s="46" customFormat="1" ht="12.75">
      <c r="A30" s="175" t="s">
        <v>55</v>
      </c>
      <c r="B30" s="170">
        <v>384350</v>
      </c>
      <c r="C30" s="170">
        <f>608060+212778+280373</f>
        <v>1101211</v>
      </c>
    </row>
    <row r="31" spans="1:3" s="46" customFormat="1" ht="12.75">
      <c r="A31" s="137" t="s">
        <v>56</v>
      </c>
      <c r="B31" s="170">
        <v>0</v>
      </c>
      <c r="C31" s="170">
        <v>0</v>
      </c>
    </row>
    <row r="32" spans="1:3" s="46" customFormat="1" ht="12.75">
      <c r="A32" s="175" t="s">
        <v>594</v>
      </c>
      <c r="B32" s="170">
        <v>0</v>
      </c>
      <c r="C32" s="170">
        <v>280373</v>
      </c>
    </row>
    <row r="33" spans="1:3" s="46" customFormat="1" ht="12.75">
      <c r="A33" s="176" t="s">
        <v>57</v>
      </c>
      <c r="B33" s="172">
        <f>B30-B32</f>
        <v>384350</v>
      </c>
      <c r="C33" s="172">
        <f>C30-C32</f>
        <v>820838</v>
      </c>
    </row>
    <row r="34" spans="1:3" s="46" customFormat="1" ht="12.75">
      <c r="A34" s="169" t="s">
        <v>52</v>
      </c>
      <c r="B34" s="171">
        <v>0</v>
      </c>
      <c r="C34" s="171">
        <v>212778</v>
      </c>
    </row>
    <row r="35" spans="1:3" s="46" customFormat="1" ht="12.75">
      <c r="A35" s="169" t="s">
        <v>53</v>
      </c>
      <c r="B35" s="171">
        <v>384350</v>
      </c>
      <c r="C35" s="171">
        <v>608060</v>
      </c>
    </row>
    <row r="36" spans="1:4" s="46" customFormat="1" ht="12.75">
      <c r="A36" s="166"/>
      <c r="B36" s="377">
        <f>(B17+B5)-B33</f>
        <v>0</v>
      </c>
      <c r="C36" s="377">
        <f>(C17+C5)-C33</f>
        <v>0</v>
      </c>
      <c r="D36" s="101"/>
    </row>
    <row r="37" spans="1:3" s="46" customFormat="1" ht="12.75">
      <c r="A37" s="263"/>
      <c r="B37" s="269"/>
      <c r="C37" s="269"/>
    </row>
    <row r="38" spans="1:3" s="46" customFormat="1" ht="12.75">
      <c r="A38" s="263" t="s">
        <v>436</v>
      </c>
      <c r="B38" s="269"/>
      <c r="C38" s="269"/>
    </row>
    <row r="40" ht="11.25">
      <c r="A40" s="139" t="s">
        <v>732</v>
      </c>
    </row>
    <row r="43" spans="1:3" ht="11.25">
      <c r="A43" s="587" t="s">
        <v>737</v>
      </c>
      <c r="B43" s="586">
        <f>B4</f>
        <v>44926</v>
      </c>
      <c r="C43" s="586">
        <f>C4</f>
        <v>44561</v>
      </c>
    </row>
    <row r="44" spans="1:3" ht="11.25">
      <c r="A44" s="92" t="s">
        <v>738</v>
      </c>
      <c r="B44" s="629">
        <f>SUM(B45:B48)</f>
        <v>4638257</v>
      </c>
      <c r="C44" s="629">
        <f>SUM(C45:C48)</f>
        <v>4472129</v>
      </c>
    </row>
    <row r="45" spans="1:3" ht="11.25">
      <c r="A45" s="630" t="s">
        <v>459</v>
      </c>
      <c r="B45" s="631">
        <f>Aktywa!D10+Aktywa!D21</f>
        <v>384350</v>
      </c>
      <c r="C45" s="631">
        <f>Aktywa!E10+Aktywa!E21</f>
        <v>820838</v>
      </c>
    </row>
    <row r="46" spans="1:3" ht="11.25">
      <c r="A46" s="630" t="s">
        <v>185</v>
      </c>
      <c r="B46" s="631">
        <f>Aktywa!D16</f>
        <v>3865585</v>
      </c>
      <c r="C46" s="631">
        <f>Aktywa!E16</f>
        <v>3274325</v>
      </c>
    </row>
    <row r="47" spans="1:3" ht="11.25">
      <c r="A47" s="630" t="s">
        <v>739</v>
      </c>
      <c r="B47" s="631">
        <f>Aktywa!D11+Aktywa!D18</f>
        <v>209911</v>
      </c>
      <c r="C47" s="631">
        <f>Aktywa!E11+Aktywa!E18</f>
        <v>209045</v>
      </c>
    </row>
    <row r="48" spans="1:3" ht="11.25">
      <c r="A48" s="66" t="s">
        <v>187</v>
      </c>
      <c r="B48" s="631">
        <f>Aktywa!D23</f>
        <v>178411</v>
      </c>
      <c r="C48" s="631">
        <f>Aktywa!E23</f>
        <v>167921</v>
      </c>
    </row>
    <row r="49" spans="1:3" ht="11.25">
      <c r="A49" s="66"/>
      <c r="B49" s="629"/>
      <c r="C49" s="629"/>
    </row>
    <row r="50" spans="1:3" ht="22.5">
      <c r="A50" s="92" t="s">
        <v>740</v>
      </c>
      <c r="B50" s="629">
        <f>SUM(B51:B54)</f>
        <v>7179416</v>
      </c>
      <c r="C50" s="629">
        <f>SUM(C51:C54)</f>
        <v>6740757</v>
      </c>
    </row>
    <row r="51" spans="1:3" ht="11.25">
      <c r="A51" s="66" t="s">
        <v>363</v>
      </c>
      <c r="B51" s="631">
        <f>Pasywa!D12+Pasywa!D20</f>
        <v>1329759</v>
      </c>
      <c r="C51" s="631">
        <f>Pasywa!E12+Pasywa!E20</f>
        <v>543501</v>
      </c>
    </row>
    <row r="52" spans="1:3" ht="11.25">
      <c r="A52" s="66" t="s">
        <v>954</v>
      </c>
      <c r="B52" s="631">
        <f>Pasywa!D13+Pasywa!D21</f>
        <v>896293</v>
      </c>
      <c r="C52" s="631">
        <f>Pasywa!E13+Pasywa!E21</f>
        <v>879503</v>
      </c>
    </row>
    <row r="53" spans="1:3" ht="11.25">
      <c r="A53" s="632" t="s">
        <v>199</v>
      </c>
      <c r="B53" s="631">
        <f>Pasywa!D22</f>
        <v>2637374</v>
      </c>
      <c r="C53" s="631">
        <f>Pasywa!E22</f>
        <v>1850133</v>
      </c>
    </row>
    <row r="54" spans="1:3" ht="11.25">
      <c r="A54" s="632" t="s">
        <v>741</v>
      </c>
      <c r="B54" s="631">
        <f>Pasywa!D24</f>
        <v>2315990</v>
      </c>
      <c r="C54" s="631">
        <f>Pasywa!E24</f>
        <v>3467620</v>
      </c>
    </row>
    <row r="55" spans="1:3" ht="11.25">
      <c r="A55" s="632"/>
      <c r="B55" s="629"/>
      <c r="C55" s="629"/>
    </row>
    <row r="56" spans="1:3" ht="22.5">
      <c r="A56" s="92" t="s">
        <v>742</v>
      </c>
      <c r="B56" s="629">
        <v>0</v>
      </c>
      <c r="C56" s="629">
        <v>0</v>
      </c>
    </row>
    <row r="57" spans="1:3" ht="11.25">
      <c r="A57" s="92"/>
      <c r="B57" s="629"/>
      <c r="C57" s="629"/>
    </row>
    <row r="58" spans="1:3" ht="22.5">
      <c r="A58" s="92" t="s">
        <v>743</v>
      </c>
      <c r="B58" s="629">
        <v>603261</v>
      </c>
      <c r="C58" s="629">
        <v>0</v>
      </c>
    </row>
    <row r="61" ht="11.25">
      <c r="A61" s="139" t="s">
        <v>744</v>
      </c>
    </row>
    <row r="64" spans="1:5" ht="67.5">
      <c r="A64" s="587">
        <v>44926</v>
      </c>
      <c r="B64" s="150" t="s">
        <v>745</v>
      </c>
      <c r="C64" s="150" t="s">
        <v>746</v>
      </c>
      <c r="D64" s="150" t="s">
        <v>747</v>
      </c>
      <c r="E64" s="150" t="s">
        <v>748</v>
      </c>
    </row>
    <row r="65" spans="1:5" ht="11.25">
      <c r="A65" s="92" t="s">
        <v>749</v>
      </c>
      <c r="B65" s="631">
        <v>33080</v>
      </c>
      <c r="C65" s="631">
        <v>-169503</v>
      </c>
      <c r="D65" s="631">
        <f>D137</f>
        <v>0</v>
      </c>
      <c r="E65" s="631">
        <f>E137</f>
        <v>0</v>
      </c>
    </row>
    <row r="66" spans="1:5" ht="11.25">
      <c r="A66" s="630" t="s">
        <v>750</v>
      </c>
      <c r="B66" s="631">
        <v>719</v>
      </c>
      <c r="C66" s="631">
        <v>-1073</v>
      </c>
      <c r="D66" s="631">
        <v>0</v>
      </c>
      <c r="E66" s="631">
        <v>0</v>
      </c>
    </row>
    <row r="67" spans="1:5" ht="11.25">
      <c r="A67" s="630" t="s">
        <v>751</v>
      </c>
      <c r="B67" s="631">
        <v>-119288</v>
      </c>
      <c r="C67" s="631">
        <v>0</v>
      </c>
      <c r="D67" s="631">
        <f>D65+D66</f>
        <v>0</v>
      </c>
      <c r="E67" s="631">
        <f>E65+E66</f>
        <v>0</v>
      </c>
    </row>
    <row r="68" spans="1:5" ht="11.25">
      <c r="A68" s="630" t="s">
        <v>752</v>
      </c>
      <c r="B68" s="631">
        <v>0</v>
      </c>
      <c r="C68" s="631">
        <v>0</v>
      </c>
      <c r="D68" s="631">
        <v>0</v>
      </c>
      <c r="E68" s="631">
        <v>0</v>
      </c>
    </row>
    <row r="69" spans="1:5" ht="11.25">
      <c r="A69" s="66" t="s">
        <v>753</v>
      </c>
      <c r="B69" s="631">
        <v>0</v>
      </c>
      <c r="C69" s="631">
        <v>0</v>
      </c>
      <c r="D69" s="631">
        <v>0</v>
      </c>
      <c r="E69" s="631">
        <v>0</v>
      </c>
    </row>
    <row r="70" spans="1:5" ht="22.5">
      <c r="A70" s="66" t="s">
        <v>754</v>
      </c>
      <c r="B70" s="633">
        <v>0</v>
      </c>
      <c r="C70" s="633">
        <v>0</v>
      </c>
      <c r="D70" s="633">
        <v>0</v>
      </c>
      <c r="E70" s="633">
        <v>0</v>
      </c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67.5">
      <c r="A73" s="587">
        <v>44561</v>
      </c>
      <c r="B73" s="150" t="s">
        <v>745</v>
      </c>
      <c r="C73" s="150" t="s">
        <v>746</v>
      </c>
      <c r="D73" s="150" t="s">
        <v>747</v>
      </c>
      <c r="E73" s="150" t="s">
        <v>748</v>
      </c>
    </row>
    <row r="74" spans="1:5" ht="11.25">
      <c r="A74" s="92" t="s">
        <v>749</v>
      </c>
      <c r="B74" s="661">
        <v>36828</v>
      </c>
      <c r="C74" s="661">
        <v>-69259</v>
      </c>
      <c r="D74" s="631">
        <f>C144</f>
        <v>0</v>
      </c>
      <c r="E74" s="631">
        <f>D144</f>
        <v>0</v>
      </c>
    </row>
    <row r="75" spans="1:5" ht="11.25">
      <c r="A75" s="630" t="s">
        <v>750</v>
      </c>
      <c r="B75" s="631">
        <v>-7757</v>
      </c>
      <c r="C75" s="631">
        <v>1.6</v>
      </c>
      <c r="D75" s="631">
        <v>0</v>
      </c>
      <c r="E75" s="631">
        <v>0</v>
      </c>
    </row>
    <row r="76" spans="1:5" ht="11.25">
      <c r="A76" s="630" t="s">
        <v>755</v>
      </c>
      <c r="B76" s="631">
        <v>-15373</v>
      </c>
      <c r="C76" s="631">
        <v>0</v>
      </c>
      <c r="D76" s="631">
        <v>0</v>
      </c>
      <c r="E76" s="631">
        <v>0</v>
      </c>
    </row>
    <row r="77" spans="1:5" ht="11.25">
      <c r="A77" s="630" t="s">
        <v>752</v>
      </c>
      <c r="B77" s="631">
        <v>0</v>
      </c>
      <c r="C77" s="631">
        <v>0</v>
      </c>
      <c r="D77" s="631">
        <v>0</v>
      </c>
      <c r="E77" s="631">
        <v>0</v>
      </c>
    </row>
    <row r="78" spans="1:5" ht="11.25">
      <c r="A78" s="66" t="s">
        <v>753</v>
      </c>
      <c r="B78" s="631">
        <v>0</v>
      </c>
      <c r="C78" s="631">
        <v>0</v>
      </c>
      <c r="D78" s="631">
        <v>0</v>
      </c>
      <c r="E78" s="631">
        <v>0</v>
      </c>
    </row>
    <row r="79" spans="1:5" ht="22.5">
      <c r="A79" s="66" t="s">
        <v>754</v>
      </c>
      <c r="B79" s="631">
        <v>0</v>
      </c>
      <c r="C79" s="631">
        <v>0</v>
      </c>
      <c r="D79" s="631">
        <v>0</v>
      </c>
      <c r="E79" s="631">
        <v>0</v>
      </c>
    </row>
  </sheetData>
  <sheetProtection/>
  <mergeCells count="2">
    <mergeCell ref="B15:C15"/>
    <mergeCell ref="B3:C3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SheetLayoutView="90" zoomScalePageLayoutView="0" workbookViewId="0" topLeftCell="A1">
      <selection activeCell="A2" sqref="A2:E34"/>
    </sheetView>
  </sheetViews>
  <sheetFormatPr defaultColWidth="9.28125" defaultRowHeight="12.75"/>
  <cols>
    <col min="1" max="1" width="27.00390625" style="250" customWidth="1"/>
    <col min="2" max="5" width="15.7109375" style="250" customWidth="1"/>
    <col min="6" max="16384" width="9.28125" style="250" customWidth="1"/>
  </cols>
  <sheetData>
    <row r="1" spans="1:3" s="399" customFormat="1" ht="19.5" customHeight="1">
      <c r="A1" s="708"/>
      <c r="B1" s="709"/>
      <c r="C1" s="709"/>
    </row>
    <row r="2" spans="1:3" s="399" customFormat="1" ht="11.25">
      <c r="A2" s="533" t="s">
        <v>645</v>
      </c>
      <c r="B2" s="505"/>
      <c r="C2" s="505"/>
    </row>
    <row r="3" spans="1:3" s="399" customFormat="1" ht="11.25">
      <c r="A3" s="504"/>
      <c r="B3" s="505"/>
      <c r="C3" s="505"/>
    </row>
    <row r="4" spans="1:5" ht="12" thickBot="1">
      <c r="A4" s="517" t="s">
        <v>330</v>
      </c>
      <c r="B4" s="710" t="str">
        <f>'Dane podstawowe'!B7</f>
        <v>01.01.2022 - 31.12.2022</v>
      </c>
      <c r="C4" s="710"/>
      <c r="D4" s="710" t="str">
        <f>'Dane podstawowe'!B12</f>
        <v>01.01.2021 - 31.12.2021</v>
      </c>
      <c r="E4" s="710"/>
    </row>
    <row r="5" spans="1:5" ht="12" thickBot="1">
      <c r="A5" s="518"/>
      <c r="B5" s="519" t="s">
        <v>373</v>
      </c>
      <c r="C5" s="519" t="s">
        <v>374</v>
      </c>
      <c r="D5" s="519" t="s">
        <v>373</v>
      </c>
      <c r="E5" s="520" t="s">
        <v>374</v>
      </c>
    </row>
    <row r="6" spans="1:5" ht="12" thickBot="1">
      <c r="A6" s="509" t="s">
        <v>498</v>
      </c>
      <c r="B6" s="519"/>
      <c r="C6" s="519"/>
      <c r="D6" s="519"/>
      <c r="E6" s="520"/>
    </row>
    <row r="7" spans="1:5" ht="22.5">
      <c r="A7" s="573" t="s">
        <v>572</v>
      </c>
      <c r="B7" s="534">
        <f>RZiS!E3</f>
        <v>16212340</v>
      </c>
      <c r="C7" s="534">
        <f>B7/$C$31</f>
        <v>3458042.3607704286</v>
      </c>
      <c r="D7" s="534">
        <f>RZiS!F3</f>
        <v>13822345</v>
      </c>
      <c r="E7" s="535">
        <f>D7/$E$31</f>
        <v>3019627.525942108</v>
      </c>
    </row>
    <row r="8" spans="1:5" ht="11.25">
      <c r="A8" s="507" t="s">
        <v>247</v>
      </c>
      <c r="B8" s="522">
        <f>RZiS!E7</f>
        <v>18383258</v>
      </c>
      <c r="C8" s="522">
        <f>B8/$C$31</f>
        <v>3921092.5068788263</v>
      </c>
      <c r="D8" s="522">
        <f>RZiS!F7</f>
        <v>15969605</v>
      </c>
      <c r="E8" s="523">
        <f>D8/$E$31</f>
        <v>3488717.6406335337</v>
      </c>
    </row>
    <row r="9" spans="1:5" ht="22.5">
      <c r="A9" s="507" t="s">
        <v>204</v>
      </c>
      <c r="B9" s="522">
        <f>RZiS!E18</f>
        <v>-1472186</v>
      </c>
      <c r="C9" s="522">
        <f>B9/$C$31</f>
        <v>-314012.7551564533</v>
      </c>
      <c r="D9" s="522">
        <f>RZiS!F18</f>
        <v>-2140642</v>
      </c>
      <c r="E9" s="523">
        <f>D9/$E$31</f>
        <v>-467644.3473511743</v>
      </c>
    </row>
    <row r="10" spans="1:5" ht="11.25">
      <c r="A10" s="508" t="s">
        <v>248</v>
      </c>
      <c r="B10" s="522">
        <f>RZiS!E22</f>
        <v>2019456</v>
      </c>
      <c r="C10" s="522">
        <f>B10/$C$31</f>
        <v>430743.7663972016</v>
      </c>
      <c r="D10" s="522">
        <f>RZiS!F22</f>
        <v>-1385306</v>
      </c>
      <c r="E10" s="523">
        <f>D10/$E$31</f>
        <v>-302633.7520480612</v>
      </c>
    </row>
    <row r="11" spans="1:5" ht="11.25">
      <c r="A11" s="510" t="s">
        <v>249</v>
      </c>
      <c r="B11" s="522">
        <f>RZiS!E26</f>
        <v>2130683</v>
      </c>
      <c r="C11" s="522">
        <f>B11/$C$31</f>
        <v>454468.14410340635</v>
      </c>
      <c r="D11" s="522">
        <f>RZiS!F26</f>
        <v>-1359868</v>
      </c>
      <c r="E11" s="523">
        <f>D11/$E$31</f>
        <v>-297076.5701802294</v>
      </c>
    </row>
    <row r="12" spans="1:5" ht="11.25">
      <c r="A12" s="507" t="s">
        <v>250</v>
      </c>
      <c r="B12" s="522">
        <v>2485775</v>
      </c>
      <c r="C12" s="522">
        <f>B12</f>
        <v>2485775</v>
      </c>
      <c r="D12" s="522">
        <f>'NOTA 7 - Zysk na 1 akcję'!C21</f>
        <v>2544190</v>
      </c>
      <c r="E12" s="523">
        <f>D12</f>
        <v>2544190</v>
      </c>
    </row>
    <row r="13" spans="1:5" ht="23.25" thickBot="1">
      <c r="A13" s="511" t="s">
        <v>252</v>
      </c>
      <c r="B13" s="582">
        <f>B11/B12</f>
        <v>0.8571503856946023</v>
      </c>
      <c r="C13" s="582">
        <f>B13/$C$31</f>
        <v>0.18282754638026627</v>
      </c>
      <c r="D13" s="582">
        <f>D11/D12</f>
        <v>-0.5344993888035092</v>
      </c>
      <c r="E13" s="583">
        <f>D13/$E$31</f>
        <v>-0.11676666057968525</v>
      </c>
    </row>
    <row r="14" spans="1:5" s="249" customFormat="1" ht="12" thickBot="1">
      <c r="A14" s="506"/>
      <c r="B14" s="514"/>
      <c r="C14" s="514"/>
      <c r="D14" s="514"/>
      <c r="E14" s="514"/>
    </row>
    <row r="15" spans="1:5" ht="12" thickBot="1">
      <c r="A15" s="512" t="s">
        <v>499</v>
      </c>
      <c r="B15" s="526"/>
      <c r="C15" s="526"/>
      <c r="D15" s="526"/>
      <c r="E15" s="521"/>
    </row>
    <row r="16" spans="1:5" ht="11.25">
      <c r="A16" s="515" t="s">
        <v>25</v>
      </c>
      <c r="B16" s="527">
        <f>Aktywa!D3</f>
        <v>19982814</v>
      </c>
      <c r="C16" s="527">
        <f aca="true" t="shared" si="0" ref="C16:C21">B16/$C$30</f>
        <v>4260818.780784239</v>
      </c>
      <c r="D16" s="527">
        <f>Aktywa!E3</f>
        <v>17861483</v>
      </c>
      <c r="E16" s="528">
        <f aca="true" t="shared" si="1" ref="E16:E21">D16/$E$30</f>
        <v>3883437.6222985606</v>
      </c>
    </row>
    <row r="17" spans="1:5" ht="11.25">
      <c r="A17" s="516" t="s">
        <v>26</v>
      </c>
      <c r="B17" s="522">
        <f>Aktywa!D14</f>
        <v>4597577</v>
      </c>
      <c r="C17" s="522">
        <f t="shared" si="0"/>
        <v>980314.5056397791</v>
      </c>
      <c r="D17" s="522">
        <f>Aktywa!E14</f>
        <v>4218671</v>
      </c>
      <c r="E17" s="523">
        <f t="shared" si="1"/>
        <v>917222.0289602991</v>
      </c>
    </row>
    <row r="18" spans="1:5" ht="11.25">
      <c r="A18" s="516" t="s">
        <v>173</v>
      </c>
      <c r="B18" s="522">
        <f>Pasywa!D3</f>
        <v>15997008</v>
      </c>
      <c r="C18" s="522">
        <f t="shared" si="0"/>
        <v>3410948.634299239</v>
      </c>
      <c r="D18" s="522">
        <f>Pasywa!E3</f>
        <v>13851439</v>
      </c>
      <c r="E18" s="523">
        <f t="shared" si="1"/>
        <v>3011575.2054615817</v>
      </c>
    </row>
    <row r="19" spans="1:5" ht="11.25">
      <c r="A19" s="516" t="s">
        <v>328</v>
      </c>
      <c r="B19" s="522">
        <f>Pasywa!D11</f>
        <v>1170304</v>
      </c>
      <c r="C19" s="522">
        <f t="shared" si="0"/>
        <v>249537.0903430777</v>
      </c>
      <c r="D19" s="522">
        <f>Pasywa!E11</f>
        <v>1223575</v>
      </c>
      <c r="E19" s="523">
        <f t="shared" si="1"/>
        <v>266029.26468669827</v>
      </c>
    </row>
    <row r="20" spans="1:5" ht="11.25">
      <c r="A20" s="516" t="s">
        <v>327</v>
      </c>
      <c r="B20" s="522">
        <f>Pasywa!D19</f>
        <v>7413079</v>
      </c>
      <c r="C20" s="522">
        <f t="shared" si="0"/>
        <v>1580647.5617817012</v>
      </c>
      <c r="D20" s="522">
        <f>Pasywa!E19</f>
        <v>7005140</v>
      </c>
      <c r="E20" s="523">
        <f t="shared" si="1"/>
        <v>1523055.1811105795</v>
      </c>
    </row>
    <row r="21" spans="1:5" ht="12" thickBot="1">
      <c r="A21" s="511" t="s">
        <v>251</v>
      </c>
      <c r="B21" s="582">
        <f>B18/'wybrane dane finansowe'!B12</f>
        <v>6.435420744033551</v>
      </c>
      <c r="C21" s="582">
        <f t="shared" si="0"/>
        <v>1.3721871988813303</v>
      </c>
      <c r="D21" s="582">
        <f>D18/'wybrane dane finansowe'!D12</f>
        <v>5.444341421041668</v>
      </c>
      <c r="E21" s="583">
        <f t="shared" si="1"/>
        <v>1.1837068793846302</v>
      </c>
    </row>
    <row r="22" s="249" customFormat="1" ht="12" thickBot="1"/>
    <row r="23" spans="1:5" ht="12" thickBot="1">
      <c r="A23" s="529" t="s">
        <v>500</v>
      </c>
      <c r="B23" s="530"/>
      <c r="C23" s="530"/>
      <c r="D23" s="530"/>
      <c r="E23" s="531"/>
    </row>
    <row r="24" spans="1:5" ht="22.5">
      <c r="A24" s="513" t="s">
        <v>213</v>
      </c>
      <c r="B24" s="527">
        <f>RPP!C18</f>
        <v>-3045721</v>
      </c>
      <c r="C24" s="527">
        <f>B24/$C$31</f>
        <v>-649642.94093808</v>
      </c>
      <c r="D24" s="527">
        <f>RPP!D18</f>
        <v>1604348</v>
      </c>
      <c r="E24" s="527">
        <f>D24/$E$31</f>
        <v>350485.63626433647</v>
      </c>
    </row>
    <row r="25" spans="1:5" ht="22.5">
      <c r="A25" s="507" t="s">
        <v>216</v>
      </c>
      <c r="B25" s="522">
        <f>RPP!C32</f>
        <v>2704329</v>
      </c>
      <c r="C25" s="522">
        <f>B25/$C$31</f>
        <v>576825.0751871681</v>
      </c>
      <c r="D25" s="522">
        <f>RPP!D32</f>
        <v>1015619</v>
      </c>
      <c r="E25" s="523">
        <f>D25/$E$31</f>
        <v>221871.98252321137</v>
      </c>
    </row>
    <row r="26" spans="1:5" ht="23.25" thickBot="1">
      <c r="A26" s="511" t="s">
        <v>221</v>
      </c>
      <c r="B26" s="524">
        <f>RPP!C49</f>
        <v>351882</v>
      </c>
      <c r="C26" s="524">
        <f>B26/$C$31</f>
        <v>75055.35055350553</v>
      </c>
      <c r="D26" s="524">
        <f>RPP!D49</f>
        <v>-2650252</v>
      </c>
      <c r="E26" s="525">
        <f>D26/$E$31</f>
        <v>-578973.6755871109</v>
      </c>
    </row>
    <row r="27" spans="1:5" ht="11.25">
      <c r="A27" s="249"/>
      <c r="B27" s="249"/>
      <c r="C27" s="249"/>
      <c r="D27" s="249"/>
      <c r="E27" s="249"/>
    </row>
    <row r="28" spans="1:5" ht="11.25">
      <c r="A28" s="249"/>
      <c r="B28" s="249"/>
      <c r="C28" s="249"/>
      <c r="D28" s="249"/>
      <c r="E28" s="249"/>
    </row>
    <row r="29" spans="1:5" ht="11.25">
      <c r="A29" s="139" t="s">
        <v>501</v>
      </c>
      <c r="B29" s="139"/>
      <c r="C29" s="139">
        <v>2022</v>
      </c>
      <c r="D29" s="139"/>
      <c r="E29" s="139">
        <v>2021</v>
      </c>
    </row>
    <row r="30" spans="1:5" ht="11.25">
      <c r="A30" s="532" t="s">
        <v>502</v>
      </c>
      <c r="B30" s="249"/>
      <c r="C30" s="537">
        <v>4.6899</v>
      </c>
      <c r="D30" s="249"/>
      <c r="E30" s="537">
        <v>4.5994</v>
      </c>
    </row>
    <row r="31" spans="1:5" ht="11.25">
      <c r="A31" s="532" t="s">
        <v>503</v>
      </c>
      <c r="B31" s="249"/>
      <c r="C31" s="537">
        <v>4.6883</v>
      </c>
      <c r="D31" s="249"/>
      <c r="E31" s="537">
        <v>4.5775</v>
      </c>
    </row>
    <row r="32" spans="1:5" ht="11.25">
      <c r="A32" s="249"/>
      <c r="B32" s="249"/>
      <c r="C32" s="249"/>
      <c r="D32" s="249"/>
      <c r="E32" s="249"/>
    </row>
    <row r="33" spans="1:5" ht="11.25">
      <c r="A33" s="249"/>
      <c r="B33" s="249"/>
      <c r="C33" s="249"/>
      <c r="D33" s="249"/>
      <c r="E33" s="249"/>
    </row>
    <row r="34" spans="1:5" ht="37.5" customHeight="1">
      <c r="A34" s="707" t="s">
        <v>504</v>
      </c>
      <c r="B34" s="707"/>
      <c r="C34" s="707"/>
      <c r="D34" s="707"/>
      <c r="E34" s="707"/>
    </row>
  </sheetData>
  <sheetProtection/>
  <mergeCells count="4">
    <mergeCell ref="A34:E34"/>
    <mergeCell ref="A1:C1"/>
    <mergeCell ref="B4:C4"/>
    <mergeCell ref="D4:E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10"/>
  <sheetViews>
    <sheetView showGridLines="0" view="pageBreakPreview" zoomScaleSheetLayoutView="100" zoomScalePageLayoutView="0" workbookViewId="0" topLeftCell="A85">
      <selection activeCell="P10" sqref="P10"/>
    </sheetView>
  </sheetViews>
  <sheetFormatPr defaultColWidth="9.28125" defaultRowHeight="12.75"/>
  <cols>
    <col min="1" max="1" width="54.7109375" style="271" customWidth="1"/>
    <col min="2" max="2" width="11.57421875" style="271" customWidth="1"/>
    <col min="3" max="3" width="11.28125" style="271" customWidth="1"/>
    <col min="4" max="4" width="9.28125" style="271" customWidth="1"/>
    <col min="5" max="5" width="10.00390625" style="271" customWidth="1"/>
    <col min="6" max="16384" width="9.28125" style="271" customWidth="1"/>
  </cols>
  <sheetData>
    <row r="1" ht="11.25">
      <c r="A1" s="277"/>
    </row>
    <row r="2" s="476" customFormat="1" ht="12.75">
      <c r="A2" s="503" t="s">
        <v>544</v>
      </c>
    </row>
    <row r="3" spans="2:4" s="279" customFormat="1" ht="11.25">
      <c r="B3" s="726"/>
      <c r="C3" s="726"/>
      <c r="D3" s="726"/>
    </row>
    <row r="4" spans="1:4" s="279" customFormat="1" ht="11.25">
      <c r="A4" s="300" t="s">
        <v>330</v>
      </c>
      <c r="B4" s="589">
        <f>'Dane podstawowe'!$B$9</f>
        <v>44926</v>
      </c>
      <c r="C4" s="589">
        <f>'Dane podstawowe'!$B$14</f>
        <v>44561</v>
      </c>
      <c r="D4" s="337"/>
    </row>
    <row r="5" spans="1:4" s="279" customFormat="1" ht="11.25">
      <c r="A5" s="309" t="s">
        <v>40</v>
      </c>
      <c r="B5" s="123">
        <f>SUM(B6:B7)</f>
        <v>3865585</v>
      </c>
      <c r="C5" s="123">
        <f>SUM(C6:C7)</f>
        <v>3274325</v>
      </c>
      <c r="D5" s="337"/>
    </row>
    <row r="6" spans="1:4" s="279" customFormat="1" ht="11.25">
      <c r="A6" s="338" t="s">
        <v>233</v>
      </c>
      <c r="B6" s="195">
        <v>547203</v>
      </c>
      <c r="C6" s="195">
        <v>1169063</v>
      </c>
      <c r="D6" s="337"/>
    </row>
    <row r="7" spans="1:4" s="279" customFormat="1" ht="11.25">
      <c r="A7" s="339" t="s">
        <v>234</v>
      </c>
      <c r="B7" s="195">
        <v>3318382</v>
      </c>
      <c r="C7" s="195">
        <v>2105262</v>
      </c>
      <c r="D7" s="337"/>
    </row>
    <row r="8" spans="1:4" s="279" customFormat="1" ht="11.25">
      <c r="A8" s="328" t="s">
        <v>107</v>
      </c>
      <c r="B8" s="195">
        <v>158169</v>
      </c>
      <c r="C8" s="195">
        <v>157049</v>
      </c>
      <c r="D8" s="337"/>
    </row>
    <row r="9" spans="1:4" s="279" customFormat="1" ht="11.25">
      <c r="A9" s="309" t="s">
        <v>232</v>
      </c>
      <c r="B9" s="123">
        <f>B5+B8</f>
        <v>4023754</v>
      </c>
      <c r="C9" s="123">
        <f>C5+C8</f>
        <v>3431374</v>
      </c>
      <c r="D9" s="337"/>
    </row>
    <row r="10" spans="1:4" s="279" customFormat="1" ht="11.25">
      <c r="A10" s="340"/>
      <c r="B10" s="341">
        <f>Aktywa!D16-B5</f>
        <v>0</v>
      </c>
      <c r="C10" s="341">
        <f>Aktywa!E16-C5</f>
        <v>0</v>
      </c>
      <c r="D10" s="337"/>
    </row>
    <row r="11" spans="1:10" s="279" customFormat="1" ht="11.25">
      <c r="A11" s="342"/>
      <c r="B11" s="342"/>
      <c r="C11" s="342"/>
      <c r="D11" s="342"/>
      <c r="E11" s="342"/>
      <c r="F11" s="342"/>
      <c r="G11" s="342"/>
      <c r="H11" s="298"/>
      <c r="I11" s="298"/>
      <c r="J11" s="298"/>
    </row>
    <row r="12" spans="1:10" s="279" customFormat="1" ht="11.25">
      <c r="A12" s="737" t="s">
        <v>489</v>
      </c>
      <c r="B12" s="737"/>
      <c r="C12" s="737"/>
      <c r="D12" s="737"/>
      <c r="E12" s="737"/>
      <c r="F12" s="737"/>
      <c r="G12" s="737"/>
      <c r="H12" s="343"/>
      <c r="I12" s="343"/>
      <c r="J12" s="343"/>
    </row>
    <row r="13" spans="2:4" s="279" customFormat="1" ht="11.25">
      <c r="B13" s="726"/>
      <c r="C13" s="726"/>
      <c r="D13" s="726"/>
    </row>
    <row r="14" spans="1:4" s="3" customFormat="1" ht="21" customHeight="1">
      <c r="A14" s="146" t="s">
        <v>330</v>
      </c>
      <c r="B14" s="586" t="s">
        <v>906</v>
      </c>
      <c r="C14" s="586" t="s">
        <v>811</v>
      </c>
      <c r="D14" s="157"/>
    </row>
    <row r="15" spans="1:5" s="252" customFormat="1" ht="11.25">
      <c r="A15" s="738" t="s">
        <v>404</v>
      </c>
      <c r="B15" s="739"/>
      <c r="C15" s="740"/>
      <c r="D15" s="448"/>
      <c r="E15" s="62"/>
    </row>
    <row r="16" spans="1:5" s="252" customFormat="1" ht="22.5">
      <c r="A16" s="151" t="s">
        <v>41</v>
      </c>
      <c r="B16" s="158">
        <f>C29</f>
        <v>0</v>
      </c>
      <c r="C16" s="158">
        <v>0</v>
      </c>
      <c r="D16" s="448"/>
      <c r="E16" s="62"/>
    </row>
    <row r="17" spans="1:5" s="365" customFormat="1" ht="11.25">
      <c r="A17" s="449" t="s">
        <v>716</v>
      </c>
      <c r="B17" s="450">
        <f>SUM(B18:B22)</f>
        <v>0</v>
      </c>
      <c r="C17" s="450">
        <f>SUM(C18:C22)</f>
        <v>0</v>
      </c>
      <c r="D17" s="335"/>
      <c r="E17" s="119"/>
    </row>
    <row r="18" spans="1:5" s="252" customFormat="1" ht="11.25" hidden="1">
      <c r="A18" s="336" t="s">
        <v>108</v>
      </c>
      <c r="B18" s="444">
        <v>0</v>
      </c>
      <c r="C18" s="444">
        <v>0</v>
      </c>
      <c r="D18" s="448"/>
      <c r="E18" s="62"/>
    </row>
    <row r="19" spans="1:5" s="252" customFormat="1" ht="11.25" hidden="1">
      <c r="A19" s="336" t="s">
        <v>109</v>
      </c>
      <c r="B19" s="444">
        <v>0</v>
      </c>
      <c r="C19" s="444">
        <v>0</v>
      </c>
      <c r="D19" s="448"/>
      <c r="E19" s="62"/>
    </row>
    <row r="20" spans="1:5" s="252" customFormat="1" ht="11.25" hidden="1">
      <c r="A20" s="355" t="s">
        <v>125</v>
      </c>
      <c r="B20" s="444"/>
      <c r="C20" s="444"/>
      <c r="D20" s="448"/>
      <c r="E20" s="62"/>
    </row>
    <row r="21" spans="1:5" s="252" customFormat="1" ht="11.25" hidden="1">
      <c r="A21" s="355" t="s">
        <v>125</v>
      </c>
      <c r="B21" s="444"/>
      <c r="C21" s="444"/>
      <c r="D21" s="448"/>
      <c r="E21" s="62"/>
    </row>
    <row r="22" spans="1:5" s="252" customFormat="1" ht="11.25" hidden="1">
      <c r="A22" s="355" t="s">
        <v>125</v>
      </c>
      <c r="B22" s="444"/>
      <c r="C22" s="444"/>
      <c r="D22" s="448"/>
      <c r="E22" s="62"/>
    </row>
    <row r="23" spans="1:5" s="365" customFormat="1" ht="11.25">
      <c r="A23" s="449" t="s">
        <v>717</v>
      </c>
      <c r="B23" s="450">
        <f>SUM(B24:B28)</f>
        <v>0</v>
      </c>
      <c r="C23" s="450">
        <f>SUM(C24:C28)</f>
        <v>0</v>
      </c>
      <c r="D23" s="335"/>
      <c r="E23" s="119"/>
    </row>
    <row r="24" spans="1:5" s="252" customFormat="1" ht="11.25" hidden="1">
      <c r="A24" s="336" t="s">
        <v>110</v>
      </c>
      <c r="B24" s="444">
        <v>0</v>
      </c>
      <c r="C24" s="444">
        <v>0</v>
      </c>
      <c r="D24" s="448"/>
      <c r="E24" s="62"/>
    </row>
    <row r="25" spans="1:5" s="252" customFormat="1" ht="11.25" hidden="1">
      <c r="A25" s="336" t="s">
        <v>111</v>
      </c>
      <c r="B25" s="444">
        <v>0</v>
      </c>
      <c r="C25" s="444">
        <v>0</v>
      </c>
      <c r="D25" s="448"/>
      <c r="E25" s="62"/>
    </row>
    <row r="26" spans="1:5" s="252" customFormat="1" ht="11.25" hidden="1">
      <c r="A26" s="336" t="s">
        <v>112</v>
      </c>
      <c r="B26" s="444">
        <v>0</v>
      </c>
      <c r="C26" s="444">
        <v>0</v>
      </c>
      <c r="D26" s="448"/>
      <c r="E26" s="62"/>
    </row>
    <row r="27" spans="1:5" s="252" customFormat="1" ht="11.25" hidden="1">
      <c r="A27" s="355" t="s">
        <v>125</v>
      </c>
      <c r="B27" s="451"/>
      <c r="C27" s="451"/>
      <c r="D27" s="448"/>
      <c r="E27" s="62"/>
    </row>
    <row r="28" spans="1:5" s="252" customFormat="1" ht="11.25" hidden="1">
      <c r="A28" s="355" t="s">
        <v>125</v>
      </c>
      <c r="B28" s="451"/>
      <c r="C28" s="451"/>
      <c r="D28" s="448"/>
      <c r="E28" s="62"/>
    </row>
    <row r="29" spans="1:5" s="252" customFormat="1" ht="22.5">
      <c r="A29" s="151" t="s">
        <v>405</v>
      </c>
      <c r="B29" s="158">
        <f>B16+B17-B23</f>
        <v>0</v>
      </c>
      <c r="C29" s="158">
        <f>C16+C17-C23</f>
        <v>0</v>
      </c>
      <c r="D29" s="448"/>
      <c r="E29" s="62"/>
    </row>
    <row r="30" spans="1:5" s="252" customFormat="1" ht="11.25">
      <c r="A30" s="741" t="s">
        <v>406</v>
      </c>
      <c r="B30" s="742"/>
      <c r="C30" s="743"/>
      <c r="D30" s="448"/>
      <c r="E30" s="62"/>
    </row>
    <row r="31" spans="1:5" s="252" customFormat="1" ht="22.5">
      <c r="A31" s="131" t="s">
        <v>41</v>
      </c>
      <c r="B31" s="547">
        <f>C51</f>
        <v>157049</v>
      </c>
      <c r="C31" s="547">
        <v>239590</v>
      </c>
      <c r="D31" s="448"/>
      <c r="E31" s="62"/>
    </row>
    <row r="32" spans="1:5" s="252" customFormat="1" ht="11.25">
      <c r="A32" s="138" t="s">
        <v>636</v>
      </c>
      <c r="B32" s="549">
        <v>0</v>
      </c>
      <c r="C32" s="549">
        <v>0</v>
      </c>
      <c r="D32" s="448"/>
      <c r="E32" s="62"/>
    </row>
    <row r="33" spans="1:5" s="252" customFormat="1" ht="22.5">
      <c r="A33" s="131" t="s">
        <v>637</v>
      </c>
      <c r="B33" s="547">
        <f>B31+B32</f>
        <v>157049</v>
      </c>
      <c r="C33" s="547">
        <f>C31+C32</f>
        <v>239590</v>
      </c>
      <c r="D33" s="448"/>
      <c r="E33" s="62"/>
    </row>
    <row r="34" spans="1:5" s="365" customFormat="1" ht="11.25">
      <c r="A34" s="482" t="s">
        <v>243</v>
      </c>
      <c r="B34" s="548">
        <f>SUM(B35:B40)</f>
        <v>79500</v>
      </c>
      <c r="C34" s="548">
        <f>SUM(C35:C40)</f>
        <v>33161</v>
      </c>
      <c r="D34" s="335"/>
      <c r="E34" s="119"/>
    </row>
    <row r="35" spans="1:5" s="365" customFormat="1" ht="11.25">
      <c r="A35" s="336" t="s">
        <v>638</v>
      </c>
      <c r="B35" s="444">
        <v>14802</v>
      </c>
      <c r="C35" s="444">
        <v>0</v>
      </c>
      <c r="D35" s="335"/>
      <c r="E35" s="119"/>
    </row>
    <row r="36" spans="1:5" s="252" customFormat="1" ht="11.25">
      <c r="A36" s="483" t="s">
        <v>108</v>
      </c>
      <c r="B36" s="549">
        <v>64698</v>
      </c>
      <c r="C36" s="549">
        <v>33161</v>
      </c>
      <c r="D36" s="448"/>
      <c r="E36" s="62"/>
    </row>
    <row r="37" spans="1:5" s="252" customFormat="1" ht="11.25">
      <c r="A37" s="483" t="s">
        <v>639</v>
      </c>
      <c r="B37" s="549">
        <v>0</v>
      </c>
      <c r="C37" s="549">
        <v>0</v>
      </c>
      <c r="D37" s="448"/>
      <c r="E37" s="62"/>
    </row>
    <row r="38" spans="1:5" s="252" customFormat="1" ht="11.25" hidden="1">
      <c r="A38" s="483" t="s">
        <v>125</v>
      </c>
      <c r="B38" s="549"/>
      <c r="C38" s="549"/>
      <c r="D38" s="448"/>
      <c r="E38" s="62"/>
    </row>
    <row r="39" spans="1:5" s="252" customFormat="1" ht="11.25" hidden="1">
      <c r="A39" s="483" t="s">
        <v>125</v>
      </c>
      <c r="B39" s="549"/>
      <c r="C39" s="549"/>
      <c r="D39" s="448"/>
      <c r="E39" s="62"/>
    </row>
    <row r="40" spans="1:5" s="252" customFormat="1" ht="11.25" hidden="1">
      <c r="A40" s="483" t="s">
        <v>125</v>
      </c>
      <c r="B40" s="549"/>
      <c r="C40" s="549"/>
      <c r="D40" s="448"/>
      <c r="E40" s="62"/>
    </row>
    <row r="41" spans="1:5" s="365" customFormat="1" ht="11.25">
      <c r="A41" s="482" t="s">
        <v>236</v>
      </c>
      <c r="B41" s="548">
        <f>SUM(B42:B48)</f>
        <v>78380</v>
      </c>
      <c r="C41" s="548">
        <f>SUM(C42:C48)</f>
        <v>115702</v>
      </c>
      <c r="D41" s="335"/>
      <c r="E41" s="119"/>
    </row>
    <row r="42" spans="1:5" s="252" customFormat="1" ht="11.25">
      <c r="A42" s="483" t="s">
        <v>110</v>
      </c>
      <c r="B42" s="549">
        <v>0</v>
      </c>
      <c r="C42" s="549">
        <v>14589</v>
      </c>
      <c r="D42" s="448"/>
      <c r="E42" s="62"/>
    </row>
    <row r="43" spans="1:5" s="252" customFormat="1" ht="11.25">
      <c r="A43" s="483" t="s">
        <v>111</v>
      </c>
      <c r="B43" s="549">
        <v>9415</v>
      </c>
      <c r="C43" s="549">
        <v>8362</v>
      </c>
      <c r="D43" s="448"/>
      <c r="E43" s="62"/>
    </row>
    <row r="44" spans="1:5" s="252" customFormat="1" ht="22.5">
      <c r="A44" s="483" t="s">
        <v>673</v>
      </c>
      <c r="B44" s="549">
        <v>0</v>
      </c>
      <c r="C44" s="549">
        <v>30671</v>
      </c>
      <c r="D44" s="448"/>
      <c r="E44" s="62"/>
    </row>
    <row r="45" spans="1:5" s="252" customFormat="1" ht="11.25">
      <c r="A45" s="483" t="s">
        <v>639</v>
      </c>
      <c r="B45" s="549">
        <v>1524</v>
      </c>
      <c r="C45" s="549">
        <v>971</v>
      </c>
      <c r="D45" s="448"/>
      <c r="E45" s="62"/>
    </row>
    <row r="46" spans="1:5" s="252" customFormat="1" ht="11.25">
      <c r="A46" s="483" t="s">
        <v>640</v>
      </c>
      <c r="B46" s="444">
        <v>67441</v>
      </c>
      <c r="C46" s="444">
        <v>61109</v>
      </c>
      <c r="D46" s="448"/>
      <c r="E46" s="62"/>
    </row>
    <row r="47" spans="1:5" s="252" customFormat="1" ht="11.25" hidden="1">
      <c r="A47" s="483" t="s">
        <v>125</v>
      </c>
      <c r="B47" s="451"/>
      <c r="C47" s="451"/>
      <c r="D47" s="448"/>
      <c r="E47" s="62"/>
    </row>
    <row r="48" spans="1:5" s="252" customFormat="1" ht="11.25" hidden="1">
      <c r="A48" s="483" t="s">
        <v>125</v>
      </c>
      <c r="B48" s="451"/>
      <c r="C48" s="451"/>
      <c r="D48" s="448"/>
      <c r="E48" s="62"/>
    </row>
    <row r="49" spans="1:5" s="252" customFormat="1" ht="22.5">
      <c r="A49" s="484" t="s">
        <v>407</v>
      </c>
      <c r="B49" s="452">
        <f>B33+B34-B41</f>
        <v>158169</v>
      </c>
      <c r="C49" s="452">
        <f>C33+C34-C41</f>
        <v>157049</v>
      </c>
      <c r="D49" s="448"/>
      <c r="E49" s="62"/>
    </row>
    <row r="50" spans="1:5" s="252" customFormat="1" ht="11.25">
      <c r="A50" s="734"/>
      <c r="B50" s="735"/>
      <c r="C50" s="736"/>
      <c r="D50" s="448"/>
      <c r="E50" s="62"/>
    </row>
    <row r="51" spans="1:5" s="252" customFormat="1" ht="22.5">
      <c r="A51" s="453" t="s">
        <v>408</v>
      </c>
      <c r="B51" s="454">
        <f>B49+B29</f>
        <v>158169</v>
      </c>
      <c r="C51" s="454">
        <f>C49+C29</f>
        <v>157049</v>
      </c>
      <c r="D51" s="448"/>
      <c r="E51" s="62"/>
    </row>
    <row r="52" spans="1:4" s="62" customFormat="1" ht="11.25">
      <c r="A52" s="156"/>
      <c r="B52" s="375">
        <f>B8-B51</f>
        <v>0</v>
      </c>
      <c r="C52" s="375">
        <f>C8-C51</f>
        <v>0</v>
      </c>
      <c r="D52" s="448"/>
    </row>
    <row r="53" spans="1:4" s="62" customFormat="1" ht="11.25">
      <c r="A53" s="156"/>
      <c r="B53" s="448"/>
      <c r="C53" s="448"/>
      <c r="D53" s="448"/>
    </row>
    <row r="54" spans="1:4" s="62" customFormat="1" ht="11.25">
      <c r="A54" s="156"/>
      <c r="B54" s="448"/>
      <c r="C54" s="448"/>
      <c r="D54" s="448"/>
    </row>
    <row r="55" spans="1:5" s="62" customFormat="1" ht="11.25">
      <c r="A55" s="145" t="s">
        <v>907</v>
      </c>
      <c r="B55" s="538"/>
      <c r="C55" s="538"/>
      <c r="D55" s="538"/>
      <c r="E55" s="538"/>
    </row>
    <row r="56" spans="1:9" s="62" customFormat="1" ht="11.25">
      <c r="A56" s="731" t="s">
        <v>330</v>
      </c>
      <c r="B56" s="732" t="s">
        <v>339</v>
      </c>
      <c r="C56" s="727" t="s">
        <v>66</v>
      </c>
      <c r="D56" s="733" t="s">
        <v>583</v>
      </c>
      <c r="E56" s="727" t="s">
        <v>584</v>
      </c>
      <c r="F56" s="727" t="s">
        <v>585</v>
      </c>
      <c r="G56" s="727" t="s">
        <v>403</v>
      </c>
      <c r="H56" s="727" t="s">
        <v>586</v>
      </c>
      <c r="I56" s="727" t="s">
        <v>587</v>
      </c>
    </row>
    <row r="57" spans="1:9" s="62" customFormat="1" ht="11.25">
      <c r="A57" s="731"/>
      <c r="B57" s="732"/>
      <c r="C57" s="728"/>
      <c r="D57" s="733"/>
      <c r="E57" s="728"/>
      <c r="F57" s="728"/>
      <c r="G57" s="728"/>
      <c r="H57" s="728"/>
      <c r="I57" s="728"/>
    </row>
    <row r="58" spans="1:16" s="62" customFormat="1" ht="11.25">
      <c r="A58" s="729" t="s">
        <v>596</v>
      </c>
      <c r="B58" s="730"/>
      <c r="C58" s="730"/>
      <c r="D58" s="730"/>
      <c r="E58" s="576"/>
      <c r="F58" s="576"/>
      <c r="G58" s="576"/>
      <c r="H58" s="576"/>
      <c r="I58" s="576"/>
      <c r="P58" s="62">
        <v>623887</v>
      </c>
    </row>
    <row r="59" spans="1:16" s="62" customFormat="1" ht="11.25">
      <c r="A59" s="577" t="s">
        <v>588</v>
      </c>
      <c r="B59" s="578">
        <f>SUM(C59:D59)</f>
        <v>547203</v>
      </c>
      <c r="C59" s="578">
        <v>387080</v>
      </c>
      <c r="D59" s="578">
        <f>SUM(E59:I59)</f>
        <v>160123</v>
      </c>
      <c r="E59" s="578">
        <v>110765</v>
      </c>
      <c r="F59" s="578">
        <v>49358</v>
      </c>
      <c r="G59" s="578">
        <v>0</v>
      </c>
      <c r="H59" s="578">
        <v>0</v>
      </c>
      <c r="I59" s="578">
        <v>0</v>
      </c>
      <c r="P59" s="62">
        <v>440404</v>
      </c>
    </row>
    <row r="60" spans="1:16" s="62" customFormat="1" ht="11.25">
      <c r="A60" s="577" t="s">
        <v>589</v>
      </c>
      <c r="B60" s="578">
        <f>C60+D60</f>
        <v>0</v>
      </c>
      <c r="C60" s="578">
        <v>0</v>
      </c>
      <c r="D60" s="578">
        <f>SUM(E60:I60)</f>
        <v>0</v>
      </c>
      <c r="E60" s="578">
        <v>0</v>
      </c>
      <c r="F60" s="578">
        <v>0</v>
      </c>
      <c r="G60" s="578">
        <v>0</v>
      </c>
      <c r="H60" s="578">
        <v>0</v>
      </c>
      <c r="I60" s="578">
        <v>0</v>
      </c>
      <c r="P60" s="62">
        <f>P58-P59</f>
        <v>183483</v>
      </c>
    </row>
    <row r="61" spans="1:9" s="62" customFormat="1" ht="11.25">
      <c r="A61" s="579" t="s">
        <v>590</v>
      </c>
      <c r="B61" s="578">
        <f>B59-B60</f>
        <v>547203</v>
      </c>
      <c r="C61" s="578">
        <f aca="true" t="shared" si="0" ref="C61:I61">C59-C60</f>
        <v>387080</v>
      </c>
      <c r="D61" s="578">
        <f t="shared" si="0"/>
        <v>160123</v>
      </c>
      <c r="E61" s="578">
        <f t="shared" si="0"/>
        <v>110765</v>
      </c>
      <c r="F61" s="578">
        <f t="shared" si="0"/>
        <v>49358</v>
      </c>
      <c r="G61" s="578">
        <f t="shared" si="0"/>
        <v>0</v>
      </c>
      <c r="H61" s="578">
        <f t="shared" si="0"/>
        <v>0</v>
      </c>
      <c r="I61" s="578">
        <f t="shared" si="0"/>
        <v>0</v>
      </c>
    </row>
    <row r="62" spans="1:9" s="62" customFormat="1" ht="11.25">
      <c r="A62" s="580" t="s">
        <v>406</v>
      </c>
      <c r="B62" s="581"/>
      <c r="C62" s="581"/>
      <c r="D62" s="581"/>
      <c r="E62" s="576"/>
      <c r="F62" s="576"/>
      <c r="G62" s="576"/>
      <c r="H62" s="576"/>
      <c r="I62" s="576"/>
    </row>
    <row r="63" spans="1:9" s="62" customFormat="1" ht="11.25">
      <c r="A63" s="577" t="s">
        <v>588</v>
      </c>
      <c r="B63" s="578">
        <f>C63+D63</f>
        <v>3476551</v>
      </c>
      <c r="C63" s="578">
        <v>2874637</v>
      </c>
      <c r="D63" s="578">
        <f>SUM(E63:I63)</f>
        <v>601914</v>
      </c>
      <c r="E63" s="578">
        <v>438721</v>
      </c>
      <c r="F63" s="578">
        <v>25876</v>
      </c>
      <c r="G63" s="578">
        <v>18065</v>
      </c>
      <c r="H63" s="578">
        <v>35853</v>
      </c>
      <c r="I63" s="578">
        <v>83399</v>
      </c>
    </row>
    <row r="64" spans="1:9" s="62" customFormat="1" ht="11.25">
      <c r="A64" s="577" t="s">
        <v>589</v>
      </c>
      <c r="B64" s="578">
        <f>C64+D64</f>
        <v>158169</v>
      </c>
      <c r="C64" s="578">
        <v>20019</v>
      </c>
      <c r="D64" s="578">
        <f>SUM(E64:I64)</f>
        <v>138150</v>
      </c>
      <c r="E64" s="578">
        <v>16174</v>
      </c>
      <c r="F64" s="578">
        <v>954</v>
      </c>
      <c r="G64" s="578">
        <v>8157</v>
      </c>
      <c r="H64" s="578">
        <f>27139+2327</f>
        <v>29466</v>
      </c>
      <c r="I64" s="689">
        <v>83399</v>
      </c>
    </row>
    <row r="65" spans="1:9" s="62" customFormat="1" ht="11.25">
      <c r="A65" s="579" t="s">
        <v>590</v>
      </c>
      <c r="B65" s="578">
        <f>B63-B64</f>
        <v>3318382</v>
      </c>
      <c r="C65" s="578">
        <f aca="true" t="shared" si="1" ref="C65:I65">C63-C64</f>
        <v>2854618</v>
      </c>
      <c r="D65" s="578">
        <f t="shared" si="1"/>
        <v>463764</v>
      </c>
      <c r="E65" s="578">
        <f t="shared" si="1"/>
        <v>422547</v>
      </c>
      <c r="F65" s="578">
        <f t="shared" si="1"/>
        <v>24922</v>
      </c>
      <c r="G65" s="578">
        <f t="shared" si="1"/>
        <v>9908</v>
      </c>
      <c r="H65" s="578">
        <f t="shared" si="1"/>
        <v>6387</v>
      </c>
      <c r="I65" s="578">
        <f t="shared" si="1"/>
        <v>0</v>
      </c>
    </row>
    <row r="66" spans="1:9" s="62" customFormat="1" ht="11.25">
      <c r="A66" s="580" t="s">
        <v>378</v>
      </c>
      <c r="B66" s="581"/>
      <c r="C66" s="581"/>
      <c r="D66" s="581"/>
      <c r="E66" s="576"/>
      <c r="F66" s="576"/>
      <c r="G66" s="576"/>
      <c r="H66" s="576"/>
      <c r="I66" s="576"/>
    </row>
    <row r="67" spans="1:9" s="62" customFormat="1" ht="11.25">
      <c r="A67" s="577" t="s">
        <v>588</v>
      </c>
      <c r="B67" s="578">
        <f>B59+B63</f>
        <v>4023754</v>
      </c>
      <c r="C67" s="578">
        <f aca="true" t="shared" si="2" ref="C67:I67">C59+C63</f>
        <v>3261717</v>
      </c>
      <c r="D67" s="578">
        <f t="shared" si="2"/>
        <v>762037</v>
      </c>
      <c r="E67" s="578">
        <f t="shared" si="2"/>
        <v>549486</v>
      </c>
      <c r="F67" s="578">
        <f t="shared" si="2"/>
        <v>75234</v>
      </c>
      <c r="G67" s="578">
        <f t="shared" si="2"/>
        <v>18065</v>
      </c>
      <c r="H67" s="578">
        <f t="shared" si="2"/>
        <v>35853</v>
      </c>
      <c r="I67" s="578">
        <f t="shared" si="2"/>
        <v>83399</v>
      </c>
    </row>
    <row r="68" spans="1:9" s="62" customFormat="1" ht="11.25">
      <c r="A68" s="577" t="s">
        <v>589</v>
      </c>
      <c r="B68" s="578">
        <f aca="true" t="shared" si="3" ref="B68:I69">B60+B64</f>
        <v>158169</v>
      </c>
      <c r="C68" s="578">
        <f t="shared" si="3"/>
        <v>20019</v>
      </c>
      <c r="D68" s="578">
        <f t="shared" si="3"/>
        <v>138150</v>
      </c>
      <c r="E68" s="578">
        <f t="shared" si="3"/>
        <v>16174</v>
      </c>
      <c r="F68" s="578">
        <f t="shared" si="3"/>
        <v>954</v>
      </c>
      <c r="G68" s="578">
        <f t="shared" si="3"/>
        <v>8157</v>
      </c>
      <c r="H68" s="578">
        <f t="shared" si="3"/>
        <v>29466</v>
      </c>
      <c r="I68" s="578">
        <f t="shared" si="3"/>
        <v>83399</v>
      </c>
    </row>
    <row r="69" spans="1:9" s="62" customFormat="1" ht="11.25">
      <c r="A69" s="579" t="s">
        <v>590</v>
      </c>
      <c r="B69" s="578">
        <f t="shared" si="3"/>
        <v>3865585</v>
      </c>
      <c r="C69" s="578">
        <f t="shared" si="3"/>
        <v>3241698</v>
      </c>
      <c r="D69" s="578">
        <f t="shared" si="3"/>
        <v>623887</v>
      </c>
      <c r="E69" s="578">
        <f t="shared" si="3"/>
        <v>533312</v>
      </c>
      <c r="F69" s="578">
        <f t="shared" si="3"/>
        <v>74280</v>
      </c>
      <c r="G69" s="578">
        <f t="shared" si="3"/>
        <v>9908</v>
      </c>
      <c r="H69" s="578">
        <f t="shared" si="3"/>
        <v>6387</v>
      </c>
      <c r="I69" s="578">
        <f t="shared" si="3"/>
        <v>0</v>
      </c>
    </row>
    <row r="70" spans="1:4" s="62" customFormat="1" ht="11.25">
      <c r="A70" s="156"/>
      <c r="B70" s="448"/>
      <c r="C70" s="448"/>
      <c r="D70" s="448"/>
    </row>
    <row r="71" s="279" customFormat="1" ht="11.25">
      <c r="A71" s="280" t="s">
        <v>42</v>
      </c>
    </row>
    <row r="72" s="279" customFormat="1" ht="11.25"/>
    <row r="73" spans="1:3" s="279" customFormat="1" ht="11.25">
      <c r="A73" s="296" t="s">
        <v>330</v>
      </c>
      <c r="B73" s="586">
        <f>'Dane podstawowe'!$B$9</f>
        <v>44926</v>
      </c>
      <c r="C73" s="586">
        <f>'Dane podstawowe'!$B$14</f>
        <v>44561</v>
      </c>
    </row>
    <row r="74" spans="1:5" s="344" customFormat="1" ht="11.25">
      <c r="A74" s="347" t="s">
        <v>44</v>
      </c>
      <c r="B74" s="352">
        <v>8133</v>
      </c>
      <c r="C74" s="352">
        <v>9948</v>
      </c>
      <c r="D74" s="279"/>
      <c r="E74" s="279"/>
    </row>
    <row r="75" spans="1:5" s="344" customFormat="1" ht="11.25">
      <c r="A75" s="347" t="s">
        <v>113</v>
      </c>
      <c r="B75" s="349">
        <v>8133</v>
      </c>
      <c r="C75" s="349">
        <v>9948</v>
      </c>
      <c r="D75" s="279"/>
      <c r="E75" s="279"/>
    </row>
    <row r="76" spans="1:5" s="344" customFormat="1" ht="22.5">
      <c r="A76" s="350" t="s">
        <v>45</v>
      </c>
      <c r="B76" s="348">
        <f>B74-B75</f>
        <v>0</v>
      </c>
      <c r="C76" s="348">
        <f>C74-C75</f>
        <v>0</v>
      </c>
      <c r="D76" s="279"/>
      <c r="E76" s="279"/>
    </row>
    <row r="77" spans="4:5" ht="11.25">
      <c r="D77" s="279"/>
      <c r="E77" s="279"/>
    </row>
    <row r="78" s="476" customFormat="1" ht="12.75">
      <c r="A78" s="503" t="s">
        <v>545</v>
      </c>
    </row>
    <row r="79" spans="1:5" ht="11.25">
      <c r="A79" s="146" t="s">
        <v>330</v>
      </c>
      <c r="B79" s="586">
        <f>'Dane podstawowe'!$B$9</f>
        <v>44926</v>
      </c>
      <c r="C79" s="586">
        <f>'Dane podstawowe'!$B$14</f>
        <v>44561</v>
      </c>
      <c r="D79" s="279"/>
      <c r="E79" s="279"/>
    </row>
    <row r="80" spans="1:5" ht="11.25">
      <c r="A80" s="77" t="s">
        <v>114</v>
      </c>
      <c r="B80" s="123">
        <f>SUM(B81:B91)</f>
        <v>169231</v>
      </c>
      <c r="C80" s="123">
        <f>SUM(C81:C91)</f>
        <v>168365</v>
      </c>
      <c r="D80" s="279"/>
      <c r="E80" s="279"/>
    </row>
    <row r="81" spans="1:5" ht="11.25">
      <c r="A81" s="485" t="s">
        <v>833</v>
      </c>
      <c r="B81" s="195">
        <v>50233</v>
      </c>
      <c r="C81" s="195">
        <v>55347</v>
      </c>
      <c r="D81" s="279"/>
      <c r="E81" s="279"/>
    </row>
    <row r="82" spans="1:5" ht="11.25">
      <c r="A82" s="485" t="s">
        <v>834</v>
      </c>
      <c r="B82" s="195">
        <v>8976</v>
      </c>
      <c r="C82" s="195">
        <v>8339</v>
      </c>
      <c r="D82" s="279"/>
      <c r="E82" s="279"/>
    </row>
    <row r="83" spans="1:5" ht="11.25">
      <c r="A83" s="485" t="s">
        <v>832</v>
      </c>
      <c r="B83" s="195">
        <v>4680</v>
      </c>
      <c r="C83" s="195">
        <v>5627</v>
      </c>
      <c r="D83" s="279"/>
      <c r="E83" s="279"/>
    </row>
    <row r="84" spans="1:5" ht="11.25">
      <c r="A84" s="485" t="s">
        <v>835</v>
      </c>
      <c r="B84" s="195">
        <v>104520</v>
      </c>
      <c r="C84" s="195">
        <v>6235</v>
      </c>
      <c r="D84" s="279"/>
      <c r="E84" s="279"/>
    </row>
    <row r="85" spans="1:5" ht="11.25">
      <c r="A85" s="485" t="s">
        <v>829</v>
      </c>
      <c r="B85" s="195">
        <v>0</v>
      </c>
      <c r="C85" s="195">
        <v>91117</v>
      </c>
      <c r="D85" s="279"/>
      <c r="E85" s="279"/>
    </row>
    <row r="86" spans="1:5" ht="11.25" hidden="1">
      <c r="A86" s="485" t="s">
        <v>115</v>
      </c>
      <c r="B86" s="195"/>
      <c r="C86" s="195">
        <v>0</v>
      </c>
      <c r="D86" s="279"/>
      <c r="E86" s="279"/>
    </row>
    <row r="87" spans="1:5" ht="11.25" hidden="1">
      <c r="A87" s="550" t="s">
        <v>240</v>
      </c>
      <c r="B87" s="195"/>
      <c r="C87" s="195">
        <v>0</v>
      </c>
      <c r="D87" s="279"/>
      <c r="E87" s="279"/>
    </row>
    <row r="88" spans="1:5" s="52" customFormat="1" ht="12.75" hidden="1">
      <c r="A88" s="456"/>
      <c r="B88" s="195"/>
      <c r="C88" s="195"/>
      <c r="D88" s="62"/>
      <c r="E88" s="62"/>
    </row>
    <row r="89" spans="1:5" s="52" customFormat="1" ht="12.75" hidden="1">
      <c r="A89" s="456" t="s">
        <v>125</v>
      </c>
      <c r="B89" s="195"/>
      <c r="C89" s="195"/>
      <c r="D89" s="62"/>
      <c r="E89" s="62"/>
    </row>
    <row r="90" spans="1:5" s="52" customFormat="1" ht="12.75" hidden="1">
      <c r="A90" s="456" t="s">
        <v>125</v>
      </c>
      <c r="B90" s="195"/>
      <c r="C90" s="195"/>
      <c r="D90" s="62"/>
      <c r="E90" s="62"/>
    </row>
    <row r="91" spans="1:5" s="52" customFormat="1" ht="11.25" customHeight="1">
      <c r="A91" s="485" t="s">
        <v>921</v>
      </c>
      <c r="B91" s="195">
        <v>822</v>
      </c>
      <c r="C91" s="195">
        <v>1700</v>
      </c>
      <c r="D91" s="62"/>
      <c r="E91" s="62"/>
    </row>
    <row r="92" spans="1:5" ht="11.25" hidden="1">
      <c r="A92" s="76" t="s">
        <v>107</v>
      </c>
      <c r="B92" s="195"/>
      <c r="C92" s="195"/>
      <c r="D92" s="279"/>
      <c r="E92" s="279"/>
    </row>
    <row r="93" spans="1:5" ht="11.25">
      <c r="A93" s="353" t="s">
        <v>107</v>
      </c>
      <c r="B93" s="195">
        <v>0</v>
      </c>
      <c r="C93" s="195">
        <v>0</v>
      </c>
      <c r="D93" s="279"/>
      <c r="E93" s="279"/>
    </row>
    <row r="94" spans="1:5" ht="11.25">
      <c r="A94" s="354" t="s">
        <v>235</v>
      </c>
      <c r="B94" s="283">
        <f>B80-B93</f>
        <v>169231</v>
      </c>
      <c r="C94" s="283">
        <f>C80-C93</f>
        <v>168365</v>
      </c>
      <c r="D94" s="279"/>
      <c r="E94" s="279"/>
    </row>
    <row r="95" spans="2:5" ht="11.25">
      <c r="B95" s="327">
        <f>Aktywa!D18-'NOTA 14,15 - Należności'!B80</f>
        <v>0</v>
      </c>
      <c r="C95" s="327">
        <f>Aktywa!E18-'NOTA 14,15 - Należności'!C80</f>
        <v>0</v>
      </c>
      <c r="D95" s="279"/>
      <c r="E95" s="279"/>
    </row>
    <row r="96" spans="2:5" ht="11.25">
      <c r="B96" s="368"/>
      <c r="C96" s="368"/>
      <c r="D96" s="279"/>
      <c r="E96" s="279"/>
    </row>
    <row r="97" spans="1:5" s="52" customFormat="1" ht="12.75">
      <c r="A97" s="146" t="s">
        <v>330</v>
      </c>
      <c r="B97" s="586">
        <f>'Dane podstawowe'!$B$9</f>
        <v>44926</v>
      </c>
      <c r="C97" s="586">
        <f>'Dane podstawowe'!$B$14</f>
        <v>44561</v>
      </c>
      <c r="D97" s="62"/>
      <c r="E97" s="62"/>
    </row>
    <row r="98" spans="1:5" s="52" customFormat="1" ht="12.75">
      <c r="A98" s="77" t="s">
        <v>114</v>
      </c>
      <c r="B98" s="123">
        <f>B94</f>
        <v>169231</v>
      </c>
      <c r="C98" s="123">
        <f>C94</f>
        <v>168365</v>
      </c>
      <c r="D98" s="62"/>
      <c r="E98" s="62"/>
    </row>
    <row r="99" spans="1:5" s="52" customFormat="1" ht="12.75">
      <c r="A99" s="485" t="s">
        <v>241</v>
      </c>
      <c r="B99" s="195">
        <v>0</v>
      </c>
      <c r="C99" s="195">
        <v>0</v>
      </c>
      <c r="D99" s="62"/>
      <c r="E99" s="62"/>
    </row>
    <row r="100" spans="1:5" s="52" customFormat="1" ht="12.75">
      <c r="A100" s="485" t="s">
        <v>242</v>
      </c>
      <c r="B100" s="195">
        <v>169231</v>
      </c>
      <c r="C100" s="195">
        <v>168365</v>
      </c>
      <c r="D100" s="62"/>
      <c r="E100" s="62"/>
    </row>
    <row r="101" spans="1:5" s="52" customFormat="1" ht="12.75">
      <c r="A101" s="76" t="s">
        <v>107</v>
      </c>
      <c r="B101" s="195">
        <v>0</v>
      </c>
      <c r="C101" s="195">
        <v>0</v>
      </c>
      <c r="D101" s="62"/>
      <c r="E101" s="62"/>
    </row>
    <row r="102" spans="1:5" s="52" customFormat="1" ht="12.75">
      <c r="A102" s="77" t="s">
        <v>235</v>
      </c>
      <c r="B102" s="123">
        <f>B101+B98</f>
        <v>169231</v>
      </c>
      <c r="C102" s="123">
        <f>C101+C98</f>
        <v>168365</v>
      </c>
      <c r="D102" s="62"/>
      <c r="E102" s="62"/>
    </row>
    <row r="103" s="52" customFormat="1" ht="12.75"/>
    <row r="104" ht="11.25" hidden="1">
      <c r="A104" s="280" t="s">
        <v>43</v>
      </c>
    </row>
    <row r="105" ht="11.25" hidden="1">
      <c r="A105" s="280"/>
    </row>
    <row r="106" spans="1:5" s="251" customFormat="1" ht="11.25" hidden="1">
      <c r="A106" s="159" t="s">
        <v>330</v>
      </c>
      <c r="B106" s="586">
        <f>'Dane podstawowe'!$B$9</f>
        <v>44926</v>
      </c>
      <c r="C106" s="586">
        <f>'Dane podstawowe'!$B$14</f>
        <v>44561</v>
      </c>
      <c r="D106" s="3"/>
      <c r="E106" s="3"/>
    </row>
    <row r="107" spans="1:5" ht="11.25" hidden="1">
      <c r="A107" s="274" t="s">
        <v>46</v>
      </c>
      <c r="B107" s="351">
        <v>0</v>
      </c>
      <c r="C107" s="351">
        <v>0</v>
      </c>
      <c r="D107" s="279"/>
      <c r="E107" s="279"/>
    </row>
    <row r="108" spans="1:5" ht="11.25" hidden="1">
      <c r="A108" s="274" t="s">
        <v>113</v>
      </c>
      <c r="B108" s="346">
        <v>0</v>
      </c>
      <c r="C108" s="346">
        <v>0</v>
      </c>
      <c r="D108" s="279"/>
      <c r="E108" s="279"/>
    </row>
    <row r="109" spans="1:5" ht="22.5" hidden="1">
      <c r="A109" s="276" t="s">
        <v>47</v>
      </c>
      <c r="B109" s="348">
        <f>B107-B108</f>
        <v>0</v>
      </c>
      <c r="C109" s="348">
        <f>C107-C108</f>
        <v>0</v>
      </c>
      <c r="D109" s="279"/>
      <c r="E109" s="279"/>
    </row>
    <row r="110" spans="1:5" ht="11.25" hidden="1">
      <c r="A110" s="326"/>
      <c r="B110" s="457"/>
      <c r="C110" s="457"/>
      <c r="D110" s="279"/>
      <c r="E110" s="279"/>
    </row>
  </sheetData>
  <sheetProtection/>
  <mergeCells count="16">
    <mergeCell ref="A50:C50"/>
    <mergeCell ref="B3:D3"/>
    <mergeCell ref="A12:G12"/>
    <mergeCell ref="B13:D13"/>
    <mergeCell ref="A15:C15"/>
    <mergeCell ref="A30:C30"/>
    <mergeCell ref="G56:G57"/>
    <mergeCell ref="H56:H57"/>
    <mergeCell ref="I56:I57"/>
    <mergeCell ref="A58:D58"/>
    <mergeCell ref="A56:A57"/>
    <mergeCell ref="B56:B57"/>
    <mergeCell ref="C56:C57"/>
    <mergeCell ref="D56:D57"/>
    <mergeCell ref="E56:E57"/>
    <mergeCell ref="F56:F57"/>
  </mergeCell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6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showGridLines="0" view="pageBreakPreview" zoomScale="90" zoomScaleSheetLayoutView="90" zoomScalePageLayoutView="0" workbookViewId="0" topLeftCell="A1">
      <selection activeCell="C12" sqref="C12"/>
    </sheetView>
  </sheetViews>
  <sheetFormatPr defaultColWidth="9.28125" defaultRowHeight="12.75"/>
  <cols>
    <col min="1" max="1" width="54.7109375" style="271" customWidth="1"/>
    <col min="2" max="3" width="14.28125" style="271" customWidth="1"/>
    <col min="4" max="16384" width="9.28125" style="271" customWidth="1"/>
  </cols>
  <sheetData>
    <row r="1" ht="11.25">
      <c r="A1" s="277"/>
    </row>
    <row r="2" spans="1:10" s="476" customFormat="1" ht="12.75">
      <c r="A2" s="501" t="s">
        <v>546</v>
      </c>
      <c r="F2" s="662" t="s">
        <v>836</v>
      </c>
      <c r="G2" s="662"/>
      <c r="H2" s="662"/>
      <c r="I2" s="662"/>
      <c r="J2" s="662"/>
    </row>
    <row r="3" spans="2:3" s="279" customFormat="1" ht="11.25">
      <c r="B3" s="726"/>
      <c r="C3" s="726"/>
    </row>
    <row r="4" spans="1:3" s="279" customFormat="1" ht="11.25">
      <c r="A4" s="300" t="s">
        <v>330</v>
      </c>
      <c r="B4" s="589">
        <f>'Dane podstawowe'!$B$9</f>
        <v>44926</v>
      </c>
      <c r="C4" s="589">
        <f>'Dane podstawowe'!$B$14</f>
        <v>44561</v>
      </c>
    </row>
    <row r="5" spans="1:3" s="279" customFormat="1" ht="11.25">
      <c r="A5" s="195" t="s">
        <v>597</v>
      </c>
      <c r="B5" s="195">
        <v>4680</v>
      </c>
      <c r="C5" s="195">
        <v>5627</v>
      </c>
    </row>
    <row r="6" spans="1:3" s="279" customFormat="1" ht="11.25">
      <c r="A6" s="70" t="s">
        <v>642</v>
      </c>
      <c r="B6" s="195">
        <v>50233</v>
      </c>
      <c r="C6" s="195">
        <v>55347</v>
      </c>
    </row>
    <row r="7" spans="1:3" s="279" customFormat="1" ht="11.25">
      <c r="A7" s="70" t="s">
        <v>646</v>
      </c>
      <c r="B7" s="195">
        <v>8976</v>
      </c>
      <c r="C7" s="195">
        <v>8339</v>
      </c>
    </row>
    <row r="8" spans="1:3" ht="11.25" hidden="1">
      <c r="A8" s="257" t="s">
        <v>643</v>
      </c>
      <c r="B8" s="288"/>
      <c r="C8" s="288"/>
    </row>
    <row r="9" spans="1:3" s="279" customFormat="1" ht="11.25" hidden="1">
      <c r="A9" s="70" t="s">
        <v>644</v>
      </c>
      <c r="B9" s="195"/>
      <c r="C9" s="195"/>
    </row>
    <row r="10" spans="1:3" s="279" customFormat="1" ht="11.25" hidden="1">
      <c r="A10" s="70" t="s">
        <v>527</v>
      </c>
      <c r="B10" s="195"/>
      <c r="C10" s="195"/>
    </row>
    <row r="11" spans="1:3" s="279" customFormat="1" ht="11.25" hidden="1">
      <c r="A11" s="70" t="s">
        <v>598</v>
      </c>
      <c r="B11" s="195"/>
      <c r="C11" s="195"/>
    </row>
    <row r="12" spans="1:3" s="279" customFormat="1" ht="11.25">
      <c r="A12" s="70" t="s">
        <v>528</v>
      </c>
      <c r="B12" s="195">
        <v>104520</v>
      </c>
      <c r="C12" s="195">
        <v>6235</v>
      </c>
    </row>
    <row r="13" spans="1:3" s="279" customFormat="1" ht="11.25">
      <c r="A13" s="386" t="s">
        <v>602</v>
      </c>
      <c r="B13" s="283">
        <f>SUM(B5:B12)</f>
        <v>168409</v>
      </c>
      <c r="C13" s="283">
        <f>SUM(C5:C12)</f>
        <v>75548</v>
      </c>
    </row>
    <row r="14" spans="2:3" ht="11.25">
      <c r="B14" s="327">
        <f>Aktywa!D22-'NOTA 15a - RMK'!B13</f>
        <v>-168409</v>
      </c>
      <c r="C14" s="327">
        <f>Aktywa!E22-'NOTA 15a - RMK'!C13</f>
        <v>-75548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9"/>
  <sheetViews>
    <sheetView showGridLines="0" view="pageBreakPreview" zoomScale="90" zoomScaleSheetLayoutView="90" zoomScalePageLayoutView="0" workbookViewId="0" topLeftCell="A1">
      <selection activeCell="A6" sqref="A6:C11"/>
    </sheetView>
  </sheetViews>
  <sheetFormatPr defaultColWidth="9.28125" defaultRowHeight="12.75"/>
  <cols>
    <col min="1" max="1" width="56.28125" style="155" customWidth="1"/>
    <col min="2" max="2" width="14.7109375" style="155" customWidth="1"/>
    <col min="3" max="3" width="14.28125" style="155" customWidth="1"/>
    <col min="4" max="6" width="9.28125" style="155" customWidth="1"/>
    <col min="7" max="16384" width="9.28125" style="52" customWidth="1"/>
  </cols>
  <sheetData>
    <row r="1" spans="1:6" ht="19.5" customHeight="1">
      <c r="A1" s="75"/>
      <c r="B1" s="52"/>
      <c r="C1" s="52"/>
      <c r="D1" s="52"/>
      <c r="E1" s="52"/>
      <c r="F1" s="52"/>
    </row>
    <row r="2" s="468" customFormat="1" ht="12.75">
      <c r="A2" s="467" t="s">
        <v>847</v>
      </c>
    </row>
    <row r="3" s="3" customFormat="1" ht="11.25"/>
    <row r="4" spans="1:3" ht="12.75">
      <c r="A4" s="72"/>
      <c r="B4" s="208"/>
      <c r="C4" s="208"/>
    </row>
    <row r="5" spans="1:3" ht="12.75">
      <c r="A5" s="72"/>
      <c r="B5" s="208"/>
      <c r="C5" s="208"/>
    </row>
    <row r="6" spans="1:3" ht="12.75">
      <c r="A6" s="133" t="s">
        <v>330</v>
      </c>
      <c r="B6" s="586">
        <v>44926</v>
      </c>
      <c r="C6" s="586">
        <v>44561</v>
      </c>
    </row>
    <row r="7" spans="1:3" ht="12.75">
      <c r="A7" s="121" t="s">
        <v>432</v>
      </c>
      <c r="B7" s="123">
        <f>SUM(B8:B10)</f>
        <v>178411</v>
      </c>
      <c r="C7" s="123">
        <f>SUM(C8:C10)</f>
        <v>167921</v>
      </c>
    </row>
    <row r="8" spans="1:3" ht="12.75">
      <c r="A8" s="120" t="s">
        <v>591</v>
      </c>
      <c r="B8" s="195">
        <v>1071</v>
      </c>
      <c r="C8" s="195">
        <v>708</v>
      </c>
    </row>
    <row r="9" spans="1:3" ht="12.75">
      <c r="A9" s="120" t="s">
        <v>592</v>
      </c>
      <c r="B9" s="195">
        <v>146905</v>
      </c>
      <c r="C9" s="195">
        <v>119168</v>
      </c>
    </row>
    <row r="10" spans="1:3" ht="12.75">
      <c r="A10" s="120" t="s">
        <v>593</v>
      </c>
      <c r="B10" s="195">
        <v>30435</v>
      </c>
      <c r="C10" s="195">
        <v>48045</v>
      </c>
    </row>
    <row r="11" spans="1:3" ht="12.75">
      <c r="A11" s="152" t="s">
        <v>339</v>
      </c>
      <c r="B11" s="123">
        <f>SUM(B8:B10)</f>
        <v>178411</v>
      </c>
      <c r="C11" s="123">
        <f>SUM(C8:C10)</f>
        <v>167921</v>
      </c>
    </row>
    <row r="12" spans="1:3" ht="12.75">
      <c r="A12" s="72"/>
      <c r="B12" s="369">
        <f>B11-Aktywa!D23</f>
        <v>0</v>
      </c>
      <c r="C12" s="369">
        <f>C11-Aktywa!E23</f>
        <v>0</v>
      </c>
    </row>
    <row r="13" spans="1:3" ht="12.75">
      <c r="A13" s="72"/>
      <c r="B13" s="208"/>
      <c r="C13" s="208"/>
    </row>
    <row r="14" spans="1:3" ht="12.75">
      <c r="A14" s="72"/>
      <c r="B14" s="208"/>
      <c r="C14" s="208"/>
    </row>
    <row r="15" spans="1:3" ht="12.75">
      <c r="A15" s="72"/>
      <c r="B15" s="208"/>
      <c r="C15" s="208"/>
    </row>
    <row r="16" spans="1:3" ht="12.75">
      <c r="A16" s="72"/>
      <c r="B16" s="208"/>
      <c r="C16" s="208"/>
    </row>
    <row r="17" spans="1:3" ht="12.75">
      <c r="A17" s="72"/>
      <c r="B17" s="208"/>
      <c r="C17" s="208"/>
    </row>
    <row r="18" spans="1:3" ht="12.75">
      <c r="A18" s="72"/>
      <c r="B18" s="208"/>
      <c r="C18" s="208"/>
    </row>
    <row r="19" spans="1:3" ht="12.75">
      <c r="A19" s="72"/>
      <c r="B19" s="208"/>
      <c r="C19" s="20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/>
  </sheetPr>
  <dimension ref="B1:I115"/>
  <sheetViews>
    <sheetView showGridLines="0" view="pageBreakPreview" zoomScaleSheetLayoutView="100" zoomScalePageLayoutView="0" workbookViewId="0" topLeftCell="A68">
      <selection activeCell="B4" sqref="B4:D7"/>
    </sheetView>
  </sheetViews>
  <sheetFormatPr defaultColWidth="9.28125" defaultRowHeight="12.75"/>
  <cols>
    <col min="1" max="1" width="3.57421875" style="52" customWidth="1"/>
    <col min="2" max="2" width="64.28125" style="52" customWidth="1"/>
    <col min="3" max="4" width="11.7109375" style="52" customWidth="1"/>
    <col min="5" max="5" width="10.7109375" style="52" customWidth="1"/>
    <col min="6" max="6" width="11.28125" style="52" customWidth="1"/>
    <col min="7" max="7" width="10.28125" style="52" customWidth="1"/>
    <col min="8" max="9" width="12.7109375" style="52" bestFit="1" customWidth="1"/>
    <col min="10" max="16384" width="9.28125" style="52" customWidth="1"/>
  </cols>
  <sheetData>
    <row r="1" ht="12.75">
      <c r="B1" s="75"/>
    </row>
    <row r="2" s="468" customFormat="1" ht="12.75">
      <c r="B2" s="467" t="s">
        <v>848</v>
      </c>
    </row>
    <row r="3" spans="3:5" s="3" customFormat="1" ht="11.25">
      <c r="C3" s="720"/>
      <c r="D3" s="720"/>
      <c r="E3" s="720"/>
    </row>
    <row r="4" spans="2:5" s="3" customFormat="1" ht="11.25">
      <c r="B4" s="133" t="s">
        <v>330</v>
      </c>
      <c r="C4" s="586">
        <f>'Dane podstawowe'!$B$9</f>
        <v>44926</v>
      </c>
      <c r="D4" s="586">
        <f>'Dane podstawowe'!$B$14</f>
        <v>44561</v>
      </c>
      <c r="E4" s="157"/>
    </row>
    <row r="5" spans="2:5" s="3" customFormat="1" ht="11.25">
      <c r="B5" s="76" t="s">
        <v>0</v>
      </c>
      <c r="C5" s="195">
        <v>2485775</v>
      </c>
      <c r="D5" s="195">
        <v>2485775</v>
      </c>
      <c r="E5" s="157"/>
    </row>
    <row r="6" spans="2:5" s="3" customFormat="1" ht="11.25">
      <c r="B6" s="357" t="str">
        <f>"Wartość nominalna akcji "</f>
        <v>Wartość nominalna akcji </v>
      </c>
      <c r="C6" s="571">
        <v>0.1</v>
      </c>
      <c r="D6" s="571">
        <v>0.1</v>
      </c>
      <c r="E6" s="157"/>
    </row>
    <row r="7" spans="2:5" s="3" customFormat="1" ht="11.25">
      <c r="B7" s="13" t="s">
        <v>196</v>
      </c>
      <c r="C7" s="123">
        <f>C5*C6</f>
        <v>248577.5</v>
      </c>
      <c r="D7" s="123">
        <f>D5*D6</f>
        <v>248577.5</v>
      </c>
      <c r="E7" s="157"/>
    </row>
    <row r="8" spans="2:5" s="3" customFormat="1" ht="11.25">
      <c r="B8" s="8"/>
      <c r="C8" s="327">
        <f>Pasywa!D4-'NOTA 17,18 - Kapitały'!C7</f>
        <v>0.5</v>
      </c>
      <c r="D8" s="327">
        <f>Pasywa!E4-'NOTA 17,18 - Kapitały'!D7</f>
        <v>0.5</v>
      </c>
      <c r="E8" s="157"/>
    </row>
    <row r="9" spans="2:5" s="3" customFormat="1" ht="11.25">
      <c r="B9" s="8"/>
      <c r="C9" s="157"/>
      <c r="D9" s="157"/>
      <c r="E9" s="157"/>
    </row>
    <row r="10" spans="2:5" s="3" customFormat="1" ht="11.25">
      <c r="B10" s="8" t="s">
        <v>908</v>
      </c>
      <c r="C10" s="157"/>
      <c r="D10" s="157"/>
      <c r="E10" s="157"/>
    </row>
    <row r="11" s="3" customFormat="1" ht="11.25"/>
    <row r="12" spans="2:9" s="3" customFormat="1" ht="67.5">
      <c r="B12" s="182" t="s">
        <v>127</v>
      </c>
      <c r="C12" s="134" t="s">
        <v>453</v>
      </c>
      <c r="D12" s="134" t="s">
        <v>454</v>
      </c>
      <c r="E12" s="134" t="s">
        <v>0</v>
      </c>
      <c r="F12" s="96" t="s">
        <v>126</v>
      </c>
      <c r="G12" s="134" t="s">
        <v>723</v>
      </c>
      <c r="H12" s="134" t="s">
        <v>455</v>
      </c>
      <c r="I12" s="133" t="s">
        <v>123</v>
      </c>
    </row>
    <row r="13" spans="2:9" s="3" customFormat="1" ht="11.25">
      <c r="B13" s="358" t="s">
        <v>529</v>
      </c>
      <c r="C13" s="464" t="s">
        <v>530</v>
      </c>
      <c r="D13" s="464"/>
      <c r="E13" s="204">
        <v>2000000</v>
      </c>
      <c r="F13" s="551">
        <v>0.1</v>
      </c>
      <c r="G13" s="204">
        <f aca="true" t="shared" si="0" ref="G13:G18">E13*F13</f>
        <v>200000</v>
      </c>
      <c r="H13" s="113"/>
      <c r="I13" s="9"/>
    </row>
    <row r="14" spans="2:9" s="3" customFormat="1" ht="11.25">
      <c r="B14" s="358" t="s">
        <v>531</v>
      </c>
      <c r="C14" s="464" t="s">
        <v>530</v>
      </c>
      <c r="D14" s="552"/>
      <c r="E14" s="204">
        <v>215500</v>
      </c>
      <c r="F14" s="551">
        <v>0.1</v>
      </c>
      <c r="G14" s="204">
        <f t="shared" si="0"/>
        <v>21550</v>
      </c>
      <c r="H14" s="113"/>
      <c r="I14" s="9"/>
    </row>
    <row r="15" spans="2:9" s="3" customFormat="1" ht="11.25">
      <c r="B15" s="358" t="s">
        <v>562</v>
      </c>
      <c r="C15" s="464" t="s">
        <v>530</v>
      </c>
      <c r="D15" s="11"/>
      <c r="E15" s="161">
        <v>31741</v>
      </c>
      <c r="F15" s="551">
        <v>0.1</v>
      </c>
      <c r="G15" s="204">
        <f t="shared" si="0"/>
        <v>3174.1000000000004</v>
      </c>
      <c r="H15" s="113"/>
      <c r="I15" s="9"/>
    </row>
    <row r="16" spans="2:9" s="3" customFormat="1" ht="11.25">
      <c r="B16" s="358" t="s">
        <v>563</v>
      </c>
      <c r="C16" s="464" t="s">
        <v>530</v>
      </c>
      <c r="D16" s="11"/>
      <c r="E16" s="161">
        <v>44310</v>
      </c>
      <c r="F16" s="551">
        <v>0.1</v>
      </c>
      <c r="G16" s="204">
        <f t="shared" si="0"/>
        <v>4431</v>
      </c>
      <c r="H16" s="113"/>
      <c r="I16" s="9"/>
    </row>
    <row r="17" spans="2:9" s="3" customFormat="1" ht="11.25">
      <c r="B17" s="358" t="s">
        <v>668</v>
      </c>
      <c r="C17" s="464" t="s">
        <v>530</v>
      </c>
      <c r="D17" s="11"/>
      <c r="E17" s="161">
        <v>81440</v>
      </c>
      <c r="F17" s="551">
        <v>0.1</v>
      </c>
      <c r="G17" s="204">
        <f t="shared" si="0"/>
        <v>8144</v>
      </c>
      <c r="H17" s="113"/>
      <c r="I17" s="9"/>
    </row>
    <row r="18" spans="2:9" s="3" customFormat="1" ht="11.25">
      <c r="B18" s="358" t="s">
        <v>669</v>
      </c>
      <c r="C18" s="464" t="s">
        <v>530</v>
      </c>
      <c r="D18" s="11"/>
      <c r="E18" s="161">
        <v>112784</v>
      </c>
      <c r="F18" s="551">
        <v>0.1</v>
      </c>
      <c r="G18" s="204">
        <f t="shared" si="0"/>
        <v>11278.400000000001</v>
      </c>
      <c r="H18" s="113"/>
      <c r="I18" s="9"/>
    </row>
    <row r="19" spans="2:8" s="3" customFormat="1" ht="11.25">
      <c r="B19" s="605"/>
      <c r="C19" s="606"/>
      <c r="D19" s="560"/>
      <c r="E19" s="561"/>
      <c r="F19" s="465"/>
      <c r="G19" s="561"/>
      <c r="H19" s="380"/>
    </row>
    <row r="20" spans="2:7" s="3" customFormat="1" ht="11.25">
      <c r="B20" s="7"/>
      <c r="C20" s="7"/>
      <c r="D20" s="7"/>
      <c r="E20" s="7"/>
      <c r="F20" s="384"/>
      <c r="G20" s="10"/>
    </row>
    <row r="21" spans="2:6" s="3" customFormat="1" ht="11.25">
      <c r="B21" s="12" t="s">
        <v>168</v>
      </c>
      <c r="C21" s="12"/>
      <c r="D21" s="12"/>
      <c r="E21" s="12"/>
      <c r="F21" s="12"/>
    </row>
    <row r="22" spans="2:6" s="3" customFormat="1" ht="11.25">
      <c r="B22" s="12"/>
      <c r="C22" s="12"/>
      <c r="D22" s="12"/>
      <c r="E22" s="12"/>
      <c r="F22" s="12"/>
    </row>
    <row r="23" spans="2:6" s="3" customFormat="1" ht="22.5">
      <c r="B23" s="182" t="s">
        <v>452</v>
      </c>
      <c r="C23" s="134" t="s">
        <v>0</v>
      </c>
      <c r="D23" s="134" t="s">
        <v>456</v>
      </c>
      <c r="E23" s="134" t="s">
        <v>457</v>
      </c>
      <c r="F23" s="134" t="s">
        <v>458</v>
      </c>
    </row>
    <row r="24" spans="2:6" s="3" customFormat="1" ht="11.25">
      <c r="B24" s="643" t="s">
        <v>641</v>
      </c>
      <c r="C24" s="624">
        <v>1504071</v>
      </c>
      <c r="D24" s="625">
        <v>0.6051</v>
      </c>
      <c r="E24" s="624">
        <v>1504071</v>
      </c>
      <c r="F24" s="625">
        <v>0.6051</v>
      </c>
    </row>
    <row r="25" spans="2:6" s="3" customFormat="1" ht="11.25">
      <c r="B25" s="643" t="s">
        <v>712</v>
      </c>
      <c r="C25" s="624">
        <v>323330</v>
      </c>
      <c r="D25" s="625">
        <v>0.13</v>
      </c>
      <c r="E25" s="624">
        <v>323330</v>
      </c>
      <c r="F25" s="625">
        <v>0.13</v>
      </c>
    </row>
    <row r="26" spans="2:6" s="3" customFormat="1" ht="11.25">
      <c r="B26" s="643" t="s">
        <v>713</v>
      </c>
      <c r="C26" s="624">
        <v>210230</v>
      </c>
      <c r="D26" s="625">
        <v>0.0846</v>
      </c>
      <c r="E26" s="624">
        <v>210230</v>
      </c>
      <c r="F26" s="625">
        <v>0.0846</v>
      </c>
    </row>
    <row r="27" spans="2:6" s="3" customFormat="1" ht="11.25">
      <c r="B27" s="643" t="s">
        <v>915</v>
      </c>
      <c r="C27" s="624">
        <v>126500</v>
      </c>
      <c r="D27" s="625">
        <v>0.0509</v>
      </c>
      <c r="E27" s="624">
        <v>126500</v>
      </c>
      <c r="F27" s="625">
        <v>0.0509</v>
      </c>
    </row>
    <row r="28" spans="2:6" s="3" customFormat="1" ht="11.25">
      <c r="B28" s="643" t="s">
        <v>180</v>
      </c>
      <c r="C28" s="624">
        <v>321644</v>
      </c>
      <c r="D28" s="625">
        <v>0.1294</v>
      </c>
      <c r="E28" s="624">
        <v>321644</v>
      </c>
      <c r="F28" s="625">
        <v>0.1294</v>
      </c>
    </row>
    <row r="29" spans="2:6" s="3" customFormat="1" ht="11.25">
      <c r="B29" s="152" t="s">
        <v>339</v>
      </c>
      <c r="C29" s="123">
        <f>SUM(C24:C28)</f>
        <v>2485775</v>
      </c>
      <c r="D29" s="555">
        <f>SUM(D24:D28)</f>
        <v>1</v>
      </c>
      <c r="E29" s="123">
        <f>SUM(E24:E28)</f>
        <v>2485775</v>
      </c>
      <c r="F29" s="555">
        <f>SUM(F24:F28)</f>
        <v>1</v>
      </c>
    </row>
    <row r="30" spans="2:6" s="3" customFormat="1" ht="11.25">
      <c r="B30" s="72"/>
      <c r="C30" s="215"/>
      <c r="D30" s="557"/>
      <c r="E30" s="215"/>
      <c r="F30" s="557"/>
    </row>
    <row r="31" spans="2:6" s="3" customFormat="1" ht="11.25">
      <c r="B31" s="72"/>
      <c r="C31" s="215"/>
      <c r="D31" s="557"/>
      <c r="E31" s="215"/>
      <c r="F31" s="557"/>
    </row>
    <row r="32" spans="2:6" s="3" customFormat="1" ht="11.25">
      <c r="B32" s="72" t="s">
        <v>812</v>
      </c>
      <c r="C32" s="215"/>
      <c r="D32" s="557"/>
      <c r="E32" s="215"/>
      <c r="F32" s="557"/>
    </row>
    <row r="33" spans="2:6" s="3" customFormat="1" ht="11.25">
      <c r="B33" s="72"/>
      <c r="C33" s="215"/>
      <c r="D33" s="557"/>
      <c r="E33" s="215"/>
      <c r="F33" s="557"/>
    </row>
    <row r="34" spans="2:9" s="3" customFormat="1" ht="67.5">
      <c r="B34" s="182" t="s">
        <v>127</v>
      </c>
      <c r="C34" s="134" t="s">
        <v>453</v>
      </c>
      <c r="D34" s="134" t="s">
        <v>454</v>
      </c>
      <c r="E34" s="134" t="s">
        <v>0</v>
      </c>
      <c r="F34" s="96" t="s">
        <v>126</v>
      </c>
      <c r="G34" s="134" t="s">
        <v>723</v>
      </c>
      <c r="H34" s="134" t="s">
        <v>455</v>
      </c>
      <c r="I34" s="133" t="s">
        <v>123</v>
      </c>
    </row>
    <row r="35" spans="2:9" s="3" customFormat="1" ht="12.75" customHeight="1">
      <c r="B35" s="358" t="s">
        <v>529</v>
      </c>
      <c r="C35" s="464" t="s">
        <v>530</v>
      </c>
      <c r="D35" s="464"/>
      <c r="E35" s="204">
        <v>2000000</v>
      </c>
      <c r="F35" s="551">
        <v>0.1</v>
      </c>
      <c r="G35" s="204">
        <f aca="true" t="shared" si="1" ref="G35:G40">E35*F35</f>
        <v>200000</v>
      </c>
      <c r="H35" s="113"/>
      <c r="I35" s="9"/>
    </row>
    <row r="36" spans="2:9" s="3" customFormat="1" ht="11.25">
      <c r="B36" s="358" t="s">
        <v>531</v>
      </c>
      <c r="C36" s="464" t="s">
        <v>530</v>
      </c>
      <c r="D36" s="552"/>
      <c r="E36" s="204">
        <v>215500</v>
      </c>
      <c r="F36" s="551">
        <v>0.1</v>
      </c>
      <c r="G36" s="204">
        <f t="shared" si="1"/>
        <v>21550</v>
      </c>
      <c r="H36" s="113"/>
      <c r="I36" s="9"/>
    </row>
    <row r="37" spans="2:9" s="3" customFormat="1" ht="11.25">
      <c r="B37" s="358" t="s">
        <v>562</v>
      </c>
      <c r="C37" s="464" t="s">
        <v>530</v>
      </c>
      <c r="D37" s="11"/>
      <c r="E37" s="161">
        <v>31741</v>
      </c>
      <c r="F37" s="551">
        <v>0.1</v>
      </c>
      <c r="G37" s="204">
        <f t="shared" si="1"/>
        <v>3174.1000000000004</v>
      </c>
      <c r="H37" s="113"/>
      <c r="I37" s="9"/>
    </row>
    <row r="38" spans="2:9" s="3" customFormat="1" ht="11.25">
      <c r="B38" s="358" t="s">
        <v>563</v>
      </c>
      <c r="C38" s="464" t="s">
        <v>530</v>
      </c>
      <c r="D38" s="11"/>
      <c r="E38" s="161">
        <v>44310</v>
      </c>
      <c r="F38" s="551">
        <v>0.1</v>
      </c>
      <c r="G38" s="204">
        <f t="shared" si="1"/>
        <v>4431</v>
      </c>
      <c r="H38" s="113"/>
      <c r="I38" s="9"/>
    </row>
    <row r="39" spans="2:9" s="3" customFormat="1" ht="11.25">
      <c r="B39" s="358" t="s">
        <v>668</v>
      </c>
      <c r="C39" s="464" t="s">
        <v>530</v>
      </c>
      <c r="D39" s="11"/>
      <c r="E39" s="161">
        <v>81440</v>
      </c>
      <c r="F39" s="551">
        <v>0.1</v>
      </c>
      <c r="G39" s="204">
        <f t="shared" si="1"/>
        <v>8144</v>
      </c>
      <c r="H39" s="113"/>
      <c r="I39" s="9"/>
    </row>
    <row r="40" spans="2:9" s="3" customFormat="1" ht="11.25">
      <c r="B40" s="358" t="s">
        <v>669</v>
      </c>
      <c r="C40" s="464" t="s">
        <v>530</v>
      </c>
      <c r="D40" s="11"/>
      <c r="E40" s="161">
        <v>112784</v>
      </c>
      <c r="F40" s="551">
        <v>0.1</v>
      </c>
      <c r="G40" s="204">
        <f t="shared" si="1"/>
        <v>11278.400000000001</v>
      </c>
      <c r="H40" s="113"/>
      <c r="I40" s="9"/>
    </row>
    <row r="41" spans="2:8" s="3" customFormat="1" ht="11.25">
      <c r="B41" s="558"/>
      <c r="C41" s="559"/>
      <c r="D41" s="560"/>
      <c r="E41" s="561"/>
      <c r="F41" s="380"/>
      <c r="G41" s="561"/>
      <c r="H41" s="380"/>
    </row>
    <row r="42" spans="2:8" s="3" customFormat="1" ht="11.25">
      <c r="B42" s="558"/>
      <c r="C42" s="559"/>
      <c r="D42" s="560"/>
      <c r="E42" s="561"/>
      <c r="F42" s="380"/>
      <c r="G42" s="561"/>
      <c r="H42" s="380"/>
    </row>
    <row r="43" spans="2:6" s="3" customFormat="1" ht="11.25">
      <c r="B43" s="72" t="s">
        <v>547</v>
      </c>
      <c r="C43" s="215"/>
      <c r="D43" s="557"/>
      <c r="E43" s="215"/>
      <c r="F43" s="557"/>
    </row>
    <row r="44" spans="2:6" s="3" customFormat="1" ht="11.25">
      <c r="B44" s="72"/>
      <c r="C44" s="215"/>
      <c r="D44" s="557"/>
      <c r="E44" s="215"/>
      <c r="F44" s="557"/>
    </row>
    <row r="45" spans="2:6" s="3" customFormat="1" ht="22.5">
      <c r="B45" s="182" t="s">
        <v>452</v>
      </c>
      <c r="C45" s="134" t="s">
        <v>0</v>
      </c>
      <c r="D45" s="134" t="s">
        <v>456</v>
      </c>
      <c r="E45" s="134" t="s">
        <v>457</v>
      </c>
      <c r="F45" s="134" t="s">
        <v>458</v>
      </c>
    </row>
    <row r="46" spans="2:6" s="3" customFormat="1" ht="11.25">
      <c r="B46" s="643" t="s">
        <v>641</v>
      </c>
      <c r="C46" s="624">
        <v>1504071</v>
      </c>
      <c r="D46" s="625">
        <v>0.6051</v>
      </c>
      <c r="E46" s="624">
        <v>1504071</v>
      </c>
      <c r="F46" s="625">
        <v>0.6051</v>
      </c>
    </row>
    <row r="47" spans="2:6" s="3" customFormat="1" ht="11.25">
      <c r="B47" s="643" t="s">
        <v>712</v>
      </c>
      <c r="C47" s="624">
        <v>371365</v>
      </c>
      <c r="D47" s="625">
        <v>0.1494</v>
      </c>
      <c r="E47" s="624">
        <v>371365</v>
      </c>
      <c r="F47" s="625">
        <v>0.1494</v>
      </c>
    </row>
    <row r="48" spans="2:6" s="3" customFormat="1" ht="11.25">
      <c r="B48" s="643" t="s">
        <v>713</v>
      </c>
      <c r="C48" s="624">
        <v>135580</v>
      </c>
      <c r="D48" s="625">
        <v>0.0545</v>
      </c>
      <c r="E48" s="624">
        <v>135580</v>
      </c>
      <c r="F48" s="625">
        <v>0.0545</v>
      </c>
    </row>
    <row r="49" spans="2:6" s="3" customFormat="1" ht="11.25">
      <c r="B49" s="643" t="s">
        <v>180</v>
      </c>
      <c r="C49" s="624">
        <v>474759</v>
      </c>
      <c r="D49" s="625">
        <v>0.191</v>
      </c>
      <c r="E49" s="624">
        <v>474759</v>
      </c>
      <c r="F49" s="625">
        <v>0.191</v>
      </c>
    </row>
    <row r="50" spans="2:6" s="3" customFormat="1" ht="11.25">
      <c r="B50" s="152" t="s">
        <v>339</v>
      </c>
      <c r="C50" s="123">
        <f>SUM(C46:C49)</f>
        <v>2485775</v>
      </c>
      <c r="D50" s="555">
        <f>SUM(D46:D49)</f>
        <v>1</v>
      </c>
      <c r="E50" s="123">
        <f>SUM(E46:E49)</f>
        <v>2485775</v>
      </c>
      <c r="F50" s="555">
        <f>SUM(F46:F49)</f>
        <v>1</v>
      </c>
    </row>
    <row r="51" spans="2:6" s="3" customFormat="1" ht="11.25">
      <c r="B51" s="72"/>
      <c r="C51" s="215"/>
      <c r="D51" s="557"/>
      <c r="E51" s="215"/>
      <c r="F51" s="557"/>
    </row>
    <row r="52" spans="2:6" s="3" customFormat="1" ht="11.25">
      <c r="B52" s="72"/>
      <c r="C52" s="215"/>
      <c r="D52" s="557"/>
      <c r="E52" s="215"/>
      <c r="F52" s="557"/>
    </row>
    <row r="53" s="3" customFormat="1" ht="11.25"/>
    <row r="54" s="3" customFormat="1" ht="11.25">
      <c r="B54" s="72" t="s">
        <v>117</v>
      </c>
    </row>
    <row r="55" s="3" customFormat="1" ht="11.25"/>
    <row r="56" spans="2:5" s="3" customFormat="1" ht="22.5">
      <c r="B56" s="159" t="s">
        <v>330</v>
      </c>
      <c r="C56" s="184" t="str">
        <f>'Dane podstawowe'!$B$7</f>
        <v>01.01.2022 - 31.12.2022</v>
      </c>
      <c r="D56" s="184" t="str">
        <f>'Dane podstawowe'!$B$12</f>
        <v>01.01.2021 - 31.12.2021</v>
      </c>
      <c r="E56" s="157"/>
    </row>
    <row r="57" spans="2:5" s="3" customFormat="1" ht="11.25">
      <c r="B57" s="78" t="s">
        <v>118</v>
      </c>
      <c r="C57" s="162">
        <f>D65</f>
        <v>248578</v>
      </c>
      <c r="D57" s="162">
        <v>248578</v>
      </c>
      <c r="E57" s="157"/>
    </row>
    <row r="58" spans="2:5" s="119" customFormat="1" ht="11.25">
      <c r="B58" s="207" t="s">
        <v>119</v>
      </c>
      <c r="C58" s="359">
        <f>SUM(C59:C60)</f>
        <v>0</v>
      </c>
      <c r="D58" s="359">
        <f>SUM(D59:D60)</f>
        <v>0</v>
      </c>
      <c r="E58" s="335"/>
    </row>
    <row r="59" spans="2:5" s="3" customFormat="1" ht="11.25">
      <c r="B59" s="363" t="s">
        <v>670</v>
      </c>
      <c r="C59" s="161">
        <v>0</v>
      </c>
      <c r="D59" s="161">
        <v>0</v>
      </c>
      <c r="E59" s="157"/>
    </row>
    <row r="60" spans="2:5" s="3" customFormat="1" ht="11.25">
      <c r="B60" s="363" t="s">
        <v>671</v>
      </c>
      <c r="C60" s="161">
        <v>0</v>
      </c>
      <c r="D60" s="161">
        <v>0</v>
      </c>
      <c r="E60" s="157"/>
    </row>
    <row r="61" spans="2:5" s="119" customFormat="1" ht="11.25">
      <c r="B61" s="207" t="s">
        <v>120</v>
      </c>
      <c r="C61" s="359">
        <f>SUM(C62:C63)</f>
        <v>0</v>
      </c>
      <c r="D61" s="359">
        <f>SUM(D62:D63)</f>
        <v>0</v>
      </c>
      <c r="E61" s="335"/>
    </row>
    <row r="62" spans="2:5" s="3" customFormat="1" ht="11.25" hidden="1">
      <c r="B62" s="181" t="s">
        <v>125</v>
      </c>
      <c r="C62" s="161"/>
      <c r="D62" s="161"/>
      <c r="E62" s="157"/>
    </row>
    <row r="63" spans="2:5" s="3" customFormat="1" ht="11.25" hidden="1">
      <c r="B63" s="181" t="s">
        <v>125</v>
      </c>
      <c r="C63" s="161"/>
      <c r="D63" s="161"/>
      <c r="E63" s="157"/>
    </row>
    <row r="64" spans="2:5" s="3" customFormat="1" ht="11.25" hidden="1">
      <c r="B64" s="180" t="s">
        <v>124</v>
      </c>
      <c r="C64" s="210"/>
      <c r="D64" s="210"/>
      <c r="E64" s="157"/>
    </row>
    <row r="65" spans="2:5" s="3" customFormat="1" ht="11.25">
      <c r="B65" s="83" t="s">
        <v>121</v>
      </c>
      <c r="C65" s="211">
        <f>SUM(C57:C58,-C61)</f>
        <v>248578</v>
      </c>
      <c r="D65" s="211">
        <f>SUM(D57:D58,-D61)</f>
        <v>248578</v>
      </c>
      <c r="E65" s="157"/>
    </row>
    <row r="66" spans="3:4" s="3" customFormat="1" ht="11.25">
      <c r="C66" s="375">
        <f>Pasywa!D4-'NOTA 17,18 - Kapitały'!C65</f>
        <v>0</v>
      </c>
      <c r="D66" s="375">
        <f>Pasywa!E4-'NOTA 17,18 - Kapitały'!D65</f>
        <v>0</v>
      </c>
    </row>
    <row r="67" s="3" customFormat="1" ht="11.25"/>
    <row r="68" s="3" customFormat="1" ht="11.25">
      <c r="E68" s="157"/>
    </row>
    <row r="69" s="3" customFormat="1" ht="11.25">
      <c r="E69" s="157"/>
    </row>
    <row r="70" spans="2:5" s="468" customFormat="1" ht="12.75">
      <c r="B70" s="467" t="s">
        <v>849</v>
      </c>
      <c r="E70" s="486"/>
    </row>
    <row r="71" spans="2:5" s="3" customFormat="1" ht="11.25">
      <c r="B71" s="72"/>
      <c r="E71" s="157"/>
    </row>
    <row r="72" spans="2:5" s="3" customFormat="1" ht="11.25">
      <c r="B72" s="185"/>
      <c r="C72" s="586">
        <f>'Dane podstawowe'!$B$9</f>
        <v>44926</v>
      </c>
      <c r="D72" s="586">
        <f>'Dane podstawowe'!$B$14</f>
        <v>44561</v>
      </c>
      <c r="E72" s="157"/>
    </row>
    <row r="73" spans="2:5" s="3" customFormat="1" ht="11.25">
      <c r="B73" s="65" t="s">
        <v>510</v>
      </c>
      <c r="C73" s="106">
        <v>4526727</v>
      </c>
      <c r="D73" s="106">
        <v>4526727</v>
      </c>
      <c r="E73" s="157"/>
    </row>
    <row r="74" spans="2:5" s="3" customFormat="1" ht="11.25" hidden="1">
      <c r="B74" s="144" t="s">
        <v>128</v>
      </c>
      <c r="C74" s="106"/>
      <c r="D74" s="106"/>
      <c r="E74" s="157"/>
    </row>
    <row r="75" spans="2:5" s="3" customFormat="1" ht="11.25">
      <c r="B75" s="144" t="s">
        <v>838</v>
      </c>
      <c r="C75" s="106">
        <v>6380426</v>
      </c>
      <c r="D75" s="106">
        <v>6365540</v>
      </c>
      <c r="E75" s="157"/>
    </row>
    <row r="76" spans="2:5" s="3" customFormat="1" ht="11.25">
      <c r="B76" s="186" t="s">
        <v>38</v>
      </c>
      <c r="C76" s="105">
        <f>SUM(C73:C75)</f>
        <v>10907153</v>
      </c>
      <c r="D76" s="105">
        <f>SUM(D73:D75)</f>
        <v>10892267</v>
      </c>
      <c r="E76" s="157"/>
    </row>
    <row r="77" spans="2:5" s="3" customFormat="1" ht="11.25">
      <c r="B77" s="136"/>
      <c r="C77" s="128"/>
      <c r="D77" s="128"/>
      <c r="E77" s="157"/>
    </row>
    <row r="78" s="3" customFormat="1" ht="11.25"/>
    <row r="79" s="60" customFormat="1" ht="11.25">
      <c r="B79" s="140" t="s">
        <v>137</v>
      </c>
    </row>
    <row r="80" s="3" customFormat="1" ht="11.25"/>
    <row r="81" spans="2:5" s="3" customFormat="1" ht="67.5">
      <c r="B81" s="96" t="s">
        <v>330</v>
      </c>
      <c r="C81" s="96" t="s">
        <v>510</v>
      </c>
      <c r="D81" s="96" t="s">
        <v>129</v>
      </c>
      <c r="E81" s="96" t="s">
        <v>339</v>
      </c>
    </row>
    <row r="82" spans="2:5" s="72" customFormat="1" ht="11.25">
      <c r="B82" s="590">
        <f>'Dane podstawowe'!B8</f>
        <v>44562</v>
      </c>
      <c r="C82" s="162">
        <f>C113</f>
        <v>4526727</v>
      </c>
      <c r="D82" s="162">
        <f>D113</f>
        <v>6365540</v>
      </c>
      <c r="E82" s="162">
        <f aca="true" t="shared" si="2" ref="E82:E96">SUM(C82:D82)</f>
        <v>10892267</v>
      </c>
    </row>
    <row r="83" spans="2:5" s="53" customFormat="1" ht="10.5">
      <c r="B83" s="207" t="s">
        <v>135</v>
      </c>
      <c r="C83" s="359">
        <f>SUM(C84:C89)</f>
        <v>0</v>
      </c>
      <c r="D83" s="359">
        <f>SUM(D84:D89)</f>
        <v>14886</v>
      </c>
      <c r="E83" s="359">
        <f t="shared" si="2"/>
        <v>14886</v>
      </c>
    </row>
    <row r="84" spans="2:5" s="62" customFormat="1" ht="11.25" hidden="1">
      <c r="B84" s="360" t="s">
        <v>663</v>
      </c>
      <c r="C84" s="204"/>
      <c r="D84" s="195">
        <v>0</v>
      </c>
      <c r="E84" s="204">
        <f t="shared" si="2"/>
        <v>0</v>
      </c>
    </row>
    <row r="85" spans="2:5" s="62" customFormat="1" ht="11.25" hidden="1">
      <c r="B85" s="360" t="s">
        <v>131</v>
      </c>
      <c r="C85" s="204">
        <v>0</v>
      </c>
      <c r="D85" s="195">
        <v>0</v>
      </c>
      <c r="E85" s="204">
        <f t="shared" si="2"/>
        <v>0</v>
      </c>
    </row>
    <row r="86" spans="2:5" s="62" customFormat="1" ht="11.25" hidden="1">
      <c r="B86" s="360" t="s">
        <v>271</v>
      </c>
      <c r="C86" s="204"/>
      <c r="D86" s="195">
        <v>0</v>
      </c>
      <c r="E86" s="204">
        <f t="shared" si="2"/>
        <v>0</v>
      </c>
    </row>
    <row r="87" spans="2:5" s="62" customFormat="1" ht="11.25" hidden="1">
      <c r="B87" s="360" t="s">
        <v>131</v>
      </c>
      <c r="C87" s="204">
        <v>0</v>
      </c>
      <c r="D87" s="195">
        <v>0</v>
      </c>
      <c r="E87" s="204">
        <f t="shared" si="2"/>
        <v>0</v>
      </c>
    </row>
    <row r="88" spans="2:5" s="62" customFormat="1" ht="11.25">
      <c r="B88" s="360" t="s">
        <v>525</v>
      </c>
      <c r="C88" s="204">
        <v>0</v>
      </c>
      <c r="D88" s="195">
        <v>14886</v>
      </c>
      <c r="E88" s="204">
        <f t="shared" si="2"/>
        <v>14886</v>
      </c>
    </row>
    <row r="89" spans="2:5" s="62" customFormat="1" ht="11.25" hidden="1">
      <c r="B89" s="360" t="s">
        <v>134</v>
      </c>
      <c r="C89" s="204">
        <v>0</v>
      </c>
      <c r="D89" s="195">
        <v>0</v>
      </c>
      <c r="E89" s="204">
        <f t="shared" si="2"/>
        <v>0</v>
      </c>
    </row>
    <row r="90" spans="2:5" s="53" customFormat="1" ht="10.5">
      <c r="B90" s="207" t="s">
        <v>136</v>
      </c>
      <c r="C90" s="359">
        <f>SUM(C91:C96)</f>
        <v>0</v>
      </c>
      <c r="D90" s="359">
        <f>SUM(D91:D96)</f>
        <v>0</v>
      </c>
      <c r="E90" s="359">
        <f t="shared" si="2"/>
        <v>0</v>
      </c>
    </row>
    <row r="91" spans="2:5" s="62" customFormat="1" ht="11.25" hidden="1">
      <c r="B91" s="360" t="s">
        <v>693</v>
      </c>
      <c r="C91" s="204">
        <v>0</v>
      </c>
      <c r="D91" s="195">
        <v>0</v>
      </c>
      <c r="E91" s="204">
        <f t="shared" si="2"/>
        <v>0</v>
      </c>
    </row>
    <row r="92" spans="2:5" s="62" customFormat="1" ht="11.25" hidden="1">
      <c r="B92" s="360" t="s">
        <v>226</v>
      </c>
      <c r="C92" s="204">
        <v>0</v>
      </c>
      <c r="D92" s="195">
        <v>0</v>
      </c>
      <c r="E92" s="204">
        <f t="shared" si="2"/>
        <v>0</v>
      </c>
    </row>
    <row r="93" spans="2:5" s="62" customFormat="1" ht="11.25" hidden="1">
      <c r="B93" s="360" t="s">
        <v>132</v>
      </c>
      <c r="C93" s="204">
        <v>0</v>
      </c>
      <c r="D93" s="195">
        <v>0</v>
      </c>
      <c r="E93" s="204">
        <f t="shared" si="2"/>
        <v>0</v>
      </c>
    </row>
    <row r="94" spans="2:5" s="62" customFormat="1" ht="11.25" hidden="1">
      <c r="B94" s="360" t="s">
        <v>131</v>
      </c>
      <c r="C94" s="204">
        <v>0</v>
      </c>
      <c r="D94" s="195">
        <v>0</v>
      </c>
      <c r="E94" s="204">
        <f t="shared" si="2"/>
        <v>0</v>
      </c>
    </row>
    <row r="95" spans="2:5" s="62" customFormat="1" ht="11.25" hidden="1">
      <c r="B95" s="360" t="s">
        <v>133</v>
      </c>
      <c r="C95" s="204">
        <v>0</v>
      </c>
      <c r="D95" s="195">
        <v>0</v>
      </c>
      <c r="E95" s="204">
        <f t="shared" si="2"/>
        <v>0</v>
      </c>
    </row>
    <row r="96" spans="2:5" s="62" customFormat="1" ht="11.25" hidden="1">
      <c r="B96" s="360" t="s">
        <v>134</v>
      </c>
      <c r="C96" s="204">
        <v>0</v>
      </c>
      <c r="D96" s="195">
        <v>0</v>
      </c>
      <c r="E96" s="204">
        <f t="shared" si="2"/>
        <v>0</v>
      </c>
    </row>
    <row r="97" spans="2:5" s="72" customFormat="1" ht="11.25">
      <c r="B97" s="590">
        <f>'Dane podstawowe'!B9</f>
        <v>44926</v>
      </c>
      <c r="C97" s="162">
        <f>C82+C83-C90</f>
        <v>4526727</v>
      </c>
      <c r="D97" s="162">
        <f>D82+D83-D90</f>
        <v>6380426</v>
      </c>
      <c r="E97" s="162">
        <f>E82+E83-E90</f>
        <v>10907153</v>
      </c>
    </row>
    <row r="98" spans="2:5" s="72" customFormat="1" ht="11.25">
      <c r="B98" s="590">
        <f>'Dane podstawowe'!B13</f>
        <v>44197</v>
      </c>
      <c r="C98" s="162">
        <v>4526727</v>
      </c>
      <c r="D98" s="162">
        <v>6357809</v>
      </c>
      <c r="E98" s="162">
        <f aca="true" t="shared" si="3" ref="E98:E113">SUM(C98:D98)</f>
        <v>10884536</v>
      </c>
    </row>
    <row r="99" spans="2:5" s="53" customFormat="1" ht="10.5">
      <c r="B99" s="207" t="s">
        <v>135</v>
      </c>
      <c r="C99" s="359">
        <f>SUM(C100:C105)</f>
        <v>0</v>
      </c>
      <c r="D99" s="359">
        <f>SUM(D100:D105)</f>
        <v>7731</v>
      </c>
      <c r="E99" s="359">
        <f t="shared" si="3"/>
        <v>7731</v>
      </c>
    </row>
    <row r="100" spans="2:5" s="62" customFormat="1" ht="11.25" hidden="1">
      <c r="B100" s="360" t="s">
        <v>133</v>
      </c>
      <c r="C100" s="204">
        <v>0</v>
      </c>
      <c r="D100" s="195">
        <v>0</v>
      </c>
      <c r="E100" s="204">
        <f t="shared" si="3"/>
        <v>0</v>
      </c>
    </row>
    <row r="101" spans="2:5" s="62" customFormat="1" ht="11.25" hidden="1">
      <c r="B101" s="360" t="s">
        <v>131</v>
      </c>
      <c r="C101" s="204">
        <v>0</v>
      </c>
      <c r="D101" s="195">
        <v>0</v>
      </c>
      <c r="E101" s="204">
        <f t="shared" si="3"/>
        <v>0</v>
      </c>
    </row>
    <row r="102" spans="2:5" s="62" customFormat="1" ht="11.25" hidden="1">
      <c r="B102" s="360" t="s">
        <v>271</v>
      </c>
      <c r="C102" s="204">
        <v>0</v>
      </c>
      <c r="D102" s="195">
        <v>0</v>
      </c>
      <c r="E102" s="204">
        <f t="shared" si="3"/>
        <v>0</v>
      </c>
    </row>
    <row r="103" spans="2:5" s="62" customFormat="1" ht="11.25">
      <c r="B103" s="360" t="s">
        <v>525</v>
      </c>
      <c r="C103" s="204">
        <v>0</v>
      </c>
      <c r="D103" s="195">
        <v>7731</v>
      </c>
      <c r="E103" s="204">
        <f t="shared" si="3"/>
        <v>7731</v>
      </c>
    </row>
    <row r="104" spans="2:5" s="62" customFormat="1" ht="11.25" hidden="1">
      <c r="B104" s="360" t="s">
        <v>133</v>
      </c>
      <c r="C104" s="204">
        <v>0</v>
      </c>
      <c r="D104" s="195">
        <v>0</v>
      </c>
      <c r="E104" s="204">
        <f t="shared" si="3"/>
        <v>0</v>
      </c>
    </row>
    <row r="105" spans="2:5" s="62" customFormat="1" ht="11.25" hidden="1">
      <c r="B105" s="360" t="s">
        <v>134</v>
      </c>
      <c r="C105" s="204">
        <v>0</v>
      </c>
      <c r="D105" s="195">
        <v>0</v>
      </c>
      <c r="E105" s="204">
        <f t="shared" si="3"/>
        <v>0</v>
      </c>
    </row>
    <row r="106" spans="2:5" s="53" customFormat="1" ht="10.5">
      <c r="B106" s="207" t="s">
        <v>136</v>
      </c>
      <c r="C106" s="359">
        <f>SUM(C107:C112)</f>
        <v>0</v>
      </c>
      <c r="D106" s="359">
        <f>SUM(D107:D112)</f>
        <v>0</v>
      </c>
      <c r="E106" s="359">
        <f t="shared" si="3"/>
        <v>0</v>
      </c>
    </row>
    <row r="107" spans="2:5" s="62" customFormat="1" ht="11.25" hidden="1">
      <c r="B107" s="360" t="s">
        <v>130</v>
      </c>
      <c r="C107" s="204">
        <v>0</v>
      </c>
      <c r="D107" s="195">
        <v>0</v>
      </c>
      <c r="E107" s="204">
        <f t="shared" si="3"/>
        <v>0</v>
      </c>
    </row>
    <row r="108" spans="2:5" s="62" customFormat="1" ht="11.25" hidden="1">
      <c r="B108" s="360" t="s">
        <v>226</v>
      </c>
      <c r="C108" s="204">
        <v>0</v>
      </c>
      <c r="D108" s="195">
        <v>0</v>
      </c>
      <c r="E108" s="204">
        <f t="shared" si="3"/>
        <v>0</v>
      </c>
    </row>
    <row r="109" spans="2:5" s="62" customFormat="1" ht="11.25" hidden="1">
      <c r="B109" s="360" t="s">
        <v>132</v>
      </c>
      <c r="C109" s="204">
        <v>0</v>
      </c>
      <c r="D109" s="195">
        <v>0</v>
      </c>
      <c r="E109" s="204">
        <f t="shared" si="3"/>
        <v>0</v>
      </c>
    </row>
    <row r="110" spans="2:5" s="62" customFormat="1" ht="11.25" hidden="1">
      <c r="B110" s="360" t="s">
        <v>131</v>
      </c>
      <c r="C110" s="204">
        <v>0</v>
      </c>
      <c r="D110" s="195">
        <v>0</v>
      </c>
      <c r="E110" s="204">
        <f t="shared" si="3"/>
        <v>0</v>
      </c>
    </row>
    <row r="111" spans="2:5" s="62" customFormat="1" ht="11.25" hidden="1">
      <c r="B111" s="360" t="s">
        <v>133</v>
      </c>
      <c r="C111" s="204">
        <v>0</v>
      </c>
      <c r="D111" s="195">
        <v>0</v>
      </c>
      <c r="E111" s="204">
        <f t="shared" si="3"/>
        <v>0</v>
      </c>
    </row>
    <row r="112" spans="2:5" s="62" customFormat="1" ht="11.25" hidden="1">
      <c r="B112" s="360" t="s">
        <v>134</v>
      </c>
      <c r="C112" s="204">
        <v>0</v>
      </c>
      <c r="D112" s="195">
        <v>0</v>
      </c>
      <c r="E112" s="204">
        <f t="shared" si="3"/>
        <v>0</v>
      </c>
    </row>
    <row r="113" spans="2:5" s="72" customFormat="1" ht="11.25">
      <c r="B113" s="590">
        <f>'Dane podstawowe'!B14</f>
        <v>44561</v>
      </c>
      <c r="C113" s="162">
        <f>C98+C99-C106</f>
        <v>4526727</v>
      </c>
      <c r="D113" s="162">
        <f>D98+D99-D106</f>
        <v>6365540</v>
      </c>
      <c r="E113" s="162">
        <f t="shared" si="3"/>
        <v>10892267</v>
      </c>
    </row>
    <row r="114" s="3" customFormat="1" ht="11.25">
      <c r="D114" s="378"/>
    </row>
    <row r="115" s="3" customFormat="1" ht="11.25">
      <c r="D115" s="378"/>
    </row>
    <row r="116" s="3" customFormat="1" ht="11.25"/>
    <row r="117" s="3" customFormat="1" ht="11.25"/>
    <row r="118" s="3" customFormat="1" ht="11.25"/>
  </sheetData>
  <sheetProtection/>
  <mergeCells count="1">
    <mergeCell ref="C3:E3"/>
  </mergeCells>
  <printOptions/>
  <pageMargins left="0.75" right="0.75" top="1" bottom="1" header="0.5" footer="0.5"/>
  <pageSetup horizontalDpi="600" verticalDpi="600" orientation="portrait" paperSize="9" scale="58" r:id="rId1"/>
  <rowBreaks count="1" manualBreakCount="1">
    <brk id="78" min="1" max="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67"/>
  <sheetViews>
    <sheetView showGridLines="0" view="pageBreakPreview" zoomScale="90" zoomScaleSheetLayoutView="90" zoomScalePageLayoutView="0" workbookViewId="0" topLeftCell="A48">
      <selection activeCell="A59" sqref="A59:E66"/>
    </sheetView>
  </sheetViews>
  <sheetFormatPr defaultColWidth="9.28125" defaultRowHeight="12.75"/>
  <cols>
    <col min="1" max="1" width="53.7109375" style="52" customWidth="1"/>
    <col min="2" max="2" width="11.28125" style="52" customWidth="1"/>
    <col min="3" max="5" width="10.28125" style="52" customWidth="1"/>
    <col min="6" max="16384" width="9.28125" style="52" customWidth="1"/>
  </cols>
  <sheetData>
    <row r="1" ht="12.75">
      <c r="A1" s="75"/>
    </row>
    <row r="2" s="468" customFormat="1" ht="12.75">
      <c r="A2" s="467" t="s">
        <v>850</v>
      </c>
    </row>
    <row r="3" spans="1:10" s="3" customFormat="1" ht="11.25">
      <c r="A3" s="141"/>
      <c r="B3" s="141"/>
      <c r="C3" s="141"/>
      <c r="D3" s="141"/>
      <c r="E3" s="141"/>
      <c r="F3" s="141"/>
      <c r="G3" s="141"/>
      <c r="H3" s="179"/>
      <c r="I3" s="179"/>
      <c r="J3" s="179"/>
    </row>
    <row r="4" spans="1:5" s="6" customFormat="1" ht="11.25">
      <c r="A4" s="159" t="s">
        <v>330</v>
      </c>
      <c r="B4" s="586">
        <f>'Dane podstawowe'!$B$9</f>
        <v>44926</v>
      </c>
      <c r="C4" s="586">
        <f>'Dane podstawowe'!$B$14</f>
        <v>44561</v>
      </c>
      <c r="D4" s="3"/>
      <c r="E4" s="3"/>
    </row>
    <row r="5" spans="1:3" s="3" customFormat="1" ht="11.25">
      <c r="A5" s="130" t="s">
        <v>138</v>
      </c>
      <c r="B5" s="204">
        <v>864068</v>
      </c>
      <c r="C5" s="204">
        <v>40373</v>
      </c>
    </row>
    <row r="6" spans="1:3" s="3" customFormat="1" ht="11.25">
      <c r="A6" s="130" t="s">
        <v>139</v>
      </c>
      <c r="B6" s="204">
        <v>0</v>
      </c>
      <c r="C6" s="204">
        <v>57000</v>
      </c>
    </row>
    <row r="7" spans="1:3" s="3" customFormat="1" ht="11.25">
      <c r="A7" s="130" t="s">
        <v>459</v>
      </c>
      <c r="B7" s="204">
        <v>461660</v>
      </c>
      <c r="C7" s="204">
        <v>439661</v>
      </c>
    </row>
    <row r="8" spans="1:3" s="62" customFormat="1" ht="11.25">
      <c r="A8" s="553" t="s">
        <v>48</v>
      </c>
      <c r="B8" s="204">
        <v>0</v>
      </c>
      <c r="C8" s="204">
        <v>0</v>
      </c>
    </row>
    <row r="9" spans="1:3" s="62" customFormat="1" ht="11.25">
      <c r="A9" s="553" t="s">
        <v>532</v>
      </c>
      <c r="B9" s="204">
        <v>4031</v>
      </c>
      <c r="C9" s="204">
        <v>6467</v>
      </c>
    </row>
    <row r="10" spans="1:3" s="62" customFormat="1" ht="11.25" hidden="1">
      <c r="A10" s="553" t="s">
        <v>125</v>
      </c>
      <c r="B10" s="204"/>
      <c r="C10" s="204"/>
    </row>
    <row r="11" spans="1:3" s="62" customFormat="1" ht="11.25" hidden="1">
      <c r="A11" s="553" t="s">
        <v>125</v>
      </c>
      <c r="B11" s="204"/>
      <c r="C11" s="204"/>
    </row>
    <row r="12" spans="1:3" s="3" customFormat="1" ht="11.25">
      <c r="A12" s="78" t="s">
        <v>122</v>
      </c>
      <c r="B12" s="162">
        <f>SUM(B13:B14)</f>
        <v>1329759</v>
      </c>
      <c r="C12" s="162">
        <f>SUM(C13:C14)</f>
        <v>543501</v>
      </c>
    </row>
    <row r="13" spans="1:3" s="3" customFormat="1" ht="11.25">
      <c r="A13" s="361" t="s">
        <v>460</v>
      </c>
      <c r="B13" s="204">
        <v>0</v>
      </c>
      <c r="C13" s="204">
        <v>0</v>
      </c>
    </row>
    <row r="14" spans="1:3" s="3" customFormat="1" ht="11.25">
      <c r="A14" s="361" t="s">
        <v>461</v>
      </c>
      <c r="B14" s="204">
        <v>1329759</v>
      </c>
      <c r="C14" s="204">
        <v>543501</v>
      </c>
    </row>
    <row r="15" spans="2:3" s="3" customFormat="1" ht="11.25">
      <c r="B15" s="379">
        <f>Pasywa!D12+Pasywa!D20-'NOTA 19 - Kredyty i pożyczki'!B12</f>
        <v>0</v>
      </c>
      <c r="C15" s="379">
        <f>Pasywa!E12+Pasywa!E20-'NOTA 19 - Kredyty i pożyczki'!C12</f>
        <v>0</v>
      </c>
    </row>
    <row r="16" s="3" customFormat="1" ht="11.25"/>
    <row r="17" s="3" customFormat="1" ht="11.25">
      <c r="A17" s="72" t="s">
        <v>733</v>
      </c>
    </row>
    <row r="18" s="3" customFormat="1" ht="11.25"/>
    <row r="19" spans="1:2" s="3" customFormat="1" ht="22.5">
      <c r="A19" s="587"/>
      <c r="B19" s="150" t="s">
        <v>363</v>
      </c>
    </row>
    <row r="20" spans="1:2" s="3" customFormat="1" ht="11.25">
      <c r="A20" s="92" t="s">
        <v>901</v>
      </c>
      <c r="B20" s="629">
        <f>B51</f>
        <v>543501</v>
      </c>
    </row>
    <row r="21" spans="1:2" s="3" customFormat="1" ht="11.25">
      <c r="A21" s="630" t="s">
        <v>756</v>
      </c>
      <c r="B21" s="629">
        <f>B22+B23</f>
        <v>821258</v>
      </c>
    </row>
    <row r="22" spans="1:2" s="3" customFormat="1" ht="11.25">
      <c r="A22" s="634" t="s">
        <v>757</v>
      </c>
      <c r="B22" s="631">
        <v>0</v>
      </c>
    </row>
    <row r="23" spans="1:2" s="3" customFormat="1" ht="11.25">
      <c r="A23" s="634" t="s">
        <v>768</v>
      </c>
      <c r="B23" s="631">
        <v>821258</v>
      </c>
    </row>
    <row r="24" spans="1:2" s="3" customFormat="1" ht="11.25" hidden="1">
      <c r="A24" s="66" t="s">
        <v>759</v>
      </c>
      <c r="B24" s="629">
        <v>0</v>
      </c>
    </row>
    <row r="25" spans="1:2" s="3" customFormat="1" ht="11.25">
      <c r="A25" s="66" t="s">
        <v>760</v>
      </c>
      <c r="B25" s="680">
        <v>22186</v>
      </c>
    </row>
    <row r="26" spans="1:2" s="3" customFormat="1" ht="11.25">
      <c r="A26" s="66" t="s">
        <v>761</v>
      </c>
      <c r="B26" s="680">
        <f>B27+B28+B29</f>
        <v>-57186</v>
      </c>
    </row>
    <row r="27" spans="1:2" s="3" customFormat="1" ht="11.25">
      <c r="A27" s="634" t="s">
        <v>762</v>
      </c>
      <c r="B27" s="681">
        <v>-57000</v>
      </c>
    </row>
    <row r="28" spans="1:2" s="3" customFormat="1" ht="11.25">
      <c r="A28" s="634" t="s">
        <v>763</v>
      </c>
      <c r="B28" s="681">
        <v>-186</v>
      </c>
    </row>
    <row r="29" spans="1:2" s="3" customFormat="1" ht="11.25">
      <c r="A29" s="634" t="s">
        <v>764</v>
      </c>
      <c r="B29" s="681">
        <v>0</v>
      </c>
    </row>
    <row r="30" spans="1:2" s="3" customFormat="1" ht="11.25">
      <c r="A30" s="66" t="s">
        <v>710</v>
      </c>
      <c r="B30" s="629">
        <v>0</v>
      </c>
    </row>
    <row r="31" spans="1:2" s="3" customFormat="1" ht="11.25">
      <c r="A31" s="66" t="s">
        <v>765</v>
      </c>
      <c r="B31" s="629">
        <v>0</v>
      </c>
    </row>
    <row r="32" spans="1:2" s="3" customFormat="1" ht="11.25">
      <c r="A32" s="92" t="s">
        <v>902</v>
      </c>
      <c r="B32" s="629">
        <f>B20+B21+B24+B25+B26+B30+B31</f>
        <v>1329759</v>
      </c>
    </row>
    <row r="33" spans="1:2" s="3" customFormat="1" ht="12.75">
      <c r="A33"/>
      <c r="B33"/>
    </row>
    <row r="34" spans="1:2" s="3" customFormat="1" ht="12.75">
      <c r="A34"/>
      <c r="B34"/>
    </row>
    <row r="35" spans="1:2" s="3" customFormat="1" ht="22.5">
      <c r="A35" s="587"/>
      <c r="B35" s="150" t="s">
        <v>363</v>
      </c>
    </row>
    <row r="36" spans="1:2" s="3" customFormat="1" ht="11.25">
      <c r="A36" s="92" t="s">
        <v>813</v>
      </c>
      <c r="B36" s="629">
        <v>2029351</v>
      </c>
    </row>
    <row r="37" spans="1:2" s="3" customFormat="1" ht="11.25" hidden="1">
      <c r="A37" s="630" t="s">
        <v>766</v>
      </c>
      <c r="B37" s="629">
        <v>0</v>
      </c>
    </row>
    <row r="38" spans="1:2" s="3" customFormat="1" ht="11.25" hidden="1">
      <c r="A38" s="630" t="s">
        <v>767</v>
      </c>
      <c r="B38" s="629">
        <f>B36+B37</f>
        <v>2029351</v>
      </c>
    </row>
    <row r="39" spans="1:2" s="3" customFormat="1" ht="11.25">
      <c r="A39" s="630" t="s">
        <v>756</v>
      </c>
      <c r="B39" s="629">
        <f>B40+B42+B41</f>
        <v>0</v>
      </c>
    </row>
    <row r="40" spans="1:2" s="3" customFormat="1" ht="11.25">
      <c r="A40" s="634" t="s">
        <v>757</v>
      </c>
      <c r="B40" s="631">
        <v>0</v>
      </c>
    </row>
    <row r="41" spans="1:2" s="3" customFormat="1" ht="11.25">
      <c r="A41" s="634" t="s">
        <v>768</v>
      </c>
      <c r="B41" s="631">
        <v>0</v>
      </c>
    </row>
    <row r="42" spans="1:2" s="3" customFormat="1" ht="11.25" hidden="1">
      <c r="A42" s="634" t="s">
        <v>758</v>
      </c>
      <c r="B42" s="631">
        <v>0</v>
      </c>
    </row>
    <row r="43" spans="1:2" s="3" customFormat="1" ht="11.25" hidden="1">
      <c r="A43" s="66" t="s">
        <v>759</v>
      </c>
      <c r="B43" s="629">
        <v>0</v>
      </c>
    </row>
    <row r="44" spans="1:2" s="3" customFormat="1" ht="11.25">
      <c r="A44" s="66" t="s">
        <v>760</v>
      </c>
      <c r="B44" s="629">
        <v>31996</v>
      </c>
    </row>
    <row r="45" spans="1:2" s="3" customFormat="1" ht="11.25">
      <c r="A45" s="66" t="s">
        <v>761</v>
      </c>
      <c r="B45" s="629">
        <f>B46+B47+B48</f>
        <v>-1517846</v>
      </c>
    </row>
    <row r="46" spans="1:2" s="3" customFormat="1" ht="9.75" customHeight="1">
      <c r="A46" s="634" t="s">
        <v>762</v>
      </c>
      <c r="B46" s="631">
        <v>-648000</v>
      </c>
    </row>
    <row r="47" spans="1:2" s="3" customFormat="1" ht="9.75" customHeight="1">
      <c r="A47" s="634" t="s">
        <v>763</v>
      </c>
      <c r="B47" s="631">
        <v>-9995</v>
      </c>
    </row>
    <row r="48" spans="1:2" s="3" customFormat="1" ht="12" customHeight="1">
      <c r="A48" s="634" t="s">
        <v>764</v>
      </c>
      <c r="B48" s="631">
        <v>-859851</v>
      </c>
    </row>
    <row r="49" spans="1:2" s="3" customFormat="1" ht="12" customHeight="1">
      <c r="A49" s="66" t="s">
        <v>710</v>
      </c>
      <c r="B49" s="629">
        <v>0</v>
      </c>
    </row>
    <row r="50" spans="1:2" s="3" customFormat="1" ht="9.75" customHeight="1">
      <c r="A50" s="66" t="s">
        <v>765</v>
      </c>
      <c r="B50" s="629">
        <v>0</v>
      </c>
    </row>
    <row r="51" spans="1:2" s="3" customFormat="1" ht="9.75" customHeight="1">
      <c r="A51" s="92" t="s">
        <v>814</v>
      </c>
      <c r="B51" s="629">
        <f>B38+B39+B43+B44+B45+B49+B50</f>
        <v>543501</v>
      </c>
    </row>
    <row r="52" spans="1:6" s="72" customFormat="1" ht="9.75" customHeight="1">
      <c r="A52" s="3"/>
      <c r="B52" s="3"/>
      <c r="C52" s="3"/>
      <c r="D52" s="3"/>
      <c r="E52" s="3"/>
      <c r="F52" s="3"/>
    </row>
    <row r="53" s="3" customFormat="1" ht="9.75" customHeight="1"/>
    <row r="54" spans="1:6" s="72" customFormat="1" ht="9.75" customHeight="1">
      <c r="A54" s="3"/>
      <c r="B54" s="3"/>
      <c r="C54" s="3"/>
      <c r="D54" s="3"/>
      <c r="E54" s="3"/>
      <c r="F54" s="3"/>
    </row>
    <row r="55" s="3" customFormat="1" ht="9.75" customHeight="1"/>
    <row r="56" spans="2:3" s="3" customFormat="1" ht="11.25">
      <c r="B56" s="380"/>
      <c r="C56" s="380"/>
    </row>
    <row r="57" s="3" customFormat="1" ht="11.25">
      <c r="A57" s="72" t="s">
        <v>466</v>
      </c>
    </row>
    <row r="58" s="3" customFormat="1" ht="11.25"/>
    <row r="59" spans="1:5" s="3" customFormat="1" ht="11.25">
      <c r="A59" s="746" t="s">
        <v>330</v>
      </c>
      <c r="B59" s="744">
        <f>'Dane podstawowe'!$B$9</f>
        <v>44926</v>
      </c>
      <c r="C59" s="745"/>
      <c r="D59" s="744">
        <f>'Dane podstawowe'!$B$14</f>
        <v>44561</v>
      </c>
      <c r="E59" s="745"/>
    </row>
    <row r="60" spans="1:5" s="3" customFormat="1" ht="22.5">
      <c r="A60" s="747"/>
      <c r="B60" s="96" t="s">
        <v>464</v>
      </c>
      <c r="C60" s="96" t="s">
        <v>465</v>
      </c>
      <c r="D60" s="96" t="s">
        <v>464</v>
      </c>
      <c r="E60" s="96" t="s">
        <v>465</v>
      </c>
    </row>
    <row r="61" spans="1:5" s="3" customFormat="1" ht="11.25">
      <c r="A61" s="188" t="s">
        <v>373</v>
      </c>
      <c r="B61" s="195">
        <v>0</v>
      </c>
      <c r="C61" s="204">
        <v>1329759</v>
      </c>
      <c r="D61" s="204">
        <v>0</v>
      </c>
      <c r="E61" s="204">
        <v>543501</v>
      </c>
    </row>
    <row r="62" spans="1:5" s="3" customFormat="1" ht="11.25">
      <c r="A62" s="188" t="s">
        <v>374</v>
      </c>
      <c r="B62" s="204">
        <v>0</v>
      </c>
      <c r="C62" s="204">
        <v>0</v>
      </c>
      <c r="D62" s="204">
        <v>0</v>
      </c>
      <c r="E62" s="204">
        <v>0</v>
      </c>
    </row>
    <row r="63" spans="1:5" s="3" customFormat="1" ht="11.25">
      <c r="A63" s="188" t="s">
        <v>375</v>
      </c>
      <c r="B63" s="204">
        <v>0</v>
      </c>
      <c r="C63" s="204">
        <v>0</v>
      </c>
      <c r="D63" s="204">
        <v>0</v>
      </c>
      <c r="E63" s="204">
        <v>0</v>
      </c>
    </row>
    <row r="64" spans="1:5" s="3" customFormat="1" ht="11.25">
      <c r="A64" s="188" t="s">
        <v>376</v>
      </c>
      <c r="B64" s="204">
        <v>0</v>
      </c>
      <c r="C64" s="204">
        <v>0</v>
      </c>
      <c r="D64" s="204">
        <v>0</v>
      </c>
      <c r="E64" s="204">
        <v>0</v>
      </c>
    </row>
    <row r="65" spans="1:5" s="3" customFormat="1" ht="11.25">
      <c r="A65" s="188" t="s">
        <v>377</v>
      </c>
      <c r="B65" s="204">
        <v>0</v>
      </c>
      <c r="C65" s="204">
        <v>0</v>
      </c>
      <c r="D65" s="204">
        <v>0</v>
      </c>
      <c r="E65" s="204">
        <v>0</v>
      </c>
    </row>
    <row r="66" spans="1:5" s="3" customFormat="1" ht="11.25">
      <c r="A66" s="15" t="s">
        <v>463</v>
      </c>
      <c r="B66" s="362" t="s">
        <v>462</v>
      </c>
      <c r="C66" s="162">
        <f>SUM(C61:C65)</f>
        <v>1329759</v>
      </c>
      <c r="D66" s="362" t="s">
        <v>462</v>
      </c>
      <c r="E66" s="162">
        <f>SUM(E61:E65)</f>
        <v>543501</v>
      </c>
    </row>
    <row r="67" spans="3:5" s="3" customFormat="1" ht="11.25">
      <c r="C67" s="375">
        <f>B12-C66</f>
        <v>0</v>
      </c>
      <c r="E67" s="375">
        <f>C12-E66</f>
        <v>0</v>
      </c>
    </row>
    <row r="68" s="3" customFormat="1" ht="11.25"/>
    <row r="69" s="3" customFormat="1" ht="11.25"/>
    <row r="70" s="3" customFormat="1" ht="11.25"/>
  </sheetData>
  <sheetProtection/>
  <mergeCells count="3">
    <mergeCell ref="D59:E59"/>
    <mergeCell ref="B59:C59"/>
    <mergeCell ref="A59:A60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50"/>
  <sheetViews>
    <sheetView showGridLines="0" view="pageBreakPreview" zoomScale="90" zoomScaleSheetLayoutView="90" zoomScalePageLayoutView="0" workbookViewId="0" topLeftCell="A16">
      <selection activeCell="A34" sqref="A34:B50"/>
    </sheetView>
  </sheetViews>
  <sheetFormatPr defaultColWidth="9.140625" defaultRowHeight="12.75"/>
  <cols>
    <col min="1" max="1" width="60.421875" style="0" bestFit="1" customWidth="1"/>
    <col min="2" max="7" width="15.57421875" style="0" customWidth="1"/>
  </cols>
  <sheetData>
    <row r="1" s="167" customFormat="1" ht="11.25"/>
    <row r="2" spans="1:6" s="167" customFormat="1" ht="12.75">
      <c r="A2" s="461" t="s">
        <v>851</v>
      </c>
      <c r="D2" s="308"/>
      <c r="E2" s="308"/>
      <c r="F2" s="308"/>
    </row>
    <row r="3" spans="1:6" s="167" customFormat="1" ht="11.25">
      <c r="A3" s="164"/>
      <c r="D3" s="308"/>
      <c r="E3" s="308"/>
      <c r="F3" s="308"/>
    </row>
    <row r="4" spans="1:3" s="167" customFormat="1" ht="11.25">
      <c r="A4" s="168"/>
      <c r="B4" s="586">
        <f>'Dane podstawowe'!$B$9</f>
        <v>44926</v>
      </c>
      <c r="C4" s="586">
        <f>'Dane podstawowe'!$B$14</f>
        <v>44561</v>
      </c>
    </row>
    <row r="5" spans="1:3" s="167" customFormat="1" ht="11.25">
      <c r="A5" s="153" t="s">
        <v>49</v>
      </c>
      <c r="B5" s="679">
        <v>896293</v>
      </c>
      <c r="C5" s="356">
        <f>626424+253079</f>
        <v>879503</v>
      </c>
    </row>
    <row r="6" spans="1:3" s="167" customFormat="1" ht="11.25" hidden="1">
      <c r="A6" s="153" t="s">
        <v>703</v>
      </c>
      <c r="B6" s="171">
        <v>0</v>
      </c>
      <c r="C6" s="171">
        <v>0</v>
      </c>
    </row>
    <row r="7" spans="1:3" s="167" customFormat="1" ht="11.25" hidden="1">
      <c r="A7" s="153" t="s">
        <v>50</v>
      </c>
      <c r="B7" s="171">
        <v>0</v>
      </c>
      <c r="C7" s="171">
        <v>0</v>
      </c>
    </row>
    <row r="8" spans="1:3" s="167" customFormat="1" ht="11.25" hidden="1">
      <c r="A8" s="153" t="s">
        <v>31</v>
      </c>
      <c r="B8" s="171">
        <v>0</v>
      </c>
      <c r="C8" s="171">
        <v>0</v>
      </c>
    </row>
    <row r="9" spans="1:3" s="167" customFormat="1" ht="11.25" hidden="1">
      <c r="A9" s="153" t="s">
        <v>32</v>
      </c>
      <c r="B9" s="171">
        <v>0</v>
      </c>
      <c r="C9" s="171">
        <v>0</v>
      </c>
    </row>
    <row r="10" spans="1:3" s="167" customFormat="1" ht="11.25" hidden="1">
      <c r="A10" s="153" t="s">
        <v>33</v>
      </c>
      <c r="B10" s="171">
        <v>0</v>
      </c>
      <c r="C10" s="171">
        <v>0</v>
      </c>
    </row>
    <row r="11" spans="1:3" s="167" customFormat="1" ht="11.25">
      <c r="A11" s="173" t="s">
        <v>51</v>
      </c>
      <c r="B11" s="174">
        <f>SUM(B5:B10)</f>
        <v>896293</v>
      </c>
      <c r="C11" s="174">
        <f>SUM(C5:C10)</f>
        <v>879503</v>
      </c>
    </row>
    <row r="12" spans="1:3" s="167" customFormat="1" ht="11.25">
      <c r="A12" s="169" t="s">
        <v>52</v>
      </c>
      <c r="B12" s="171">
        <v>511256</v>
      </c>
      <c r="C12" s="171">
        <v>626424</v>
      </c>
    </row>
    <row r="13" spans="1:3" s="167" customFormat="1" ht="11.25">
      <c r="A13" s="169" t="s">
        <v>53</v>
      </c>
      <c r="B13" s="171">
        <v>385037</v>
      </c>
      <c r="C13" s="171">
        <v>253079</v>
      </c>
    </row>
    <row r="14" spans="1:3" s="167" customFormat="1" ht="11.25">
      <c r="A14" s="166"/>
      <c r="B14" s="377">
        <f>(Pasywa!D13+Pasywa!D21)-'NOTA 20 Zobowiązania finansowe'!B11</f>
        <v>0</v>
      </c>
      <c r="C14" s="377">
        <f>(Pasywa!E13+Pasywa!E21)-'NOTA 20 Zobowiązania finansowe'!C11</f>
        <v>0</v>
      </c>
    </row>
    <row r="15" spans="2:6" s="167" customFormat="1" ht="11.25">
      <c r="B15" s="458"/>
      <c r="C15" s="447"/>
      <c r="F15" s="459"/>
    </row>
    <row r="16" spans="1:6" s="167" customFormat="1" ht="11.25">
      <c r="A16" s="72" t="s">
        <v>733</v>
      </c>
      <c r="B16" s="458"/>
      <c r="C16" s="447"/>
      <c r="F16" s="459"/>
    </row>
    <row r="17" spans="1:6" s="167" customFormat="1" ht="11.25">
      <c r="A17" s="460"/>
      <c r="B17" s="458"/>
      <c r="C17" s="447"/>
      <c r="F17" s="459"/>
    </row>
    <row r="18" spans="1:2" s="167" customFormat="1" ht="22.5">
      <c r="A18" s="587"/>
      <c r="B18" s="150" t="s">
        <v>633</v>
      </c>
    </row>
    <row r="19" spans="1:2" s="167" customFormat="1" ht="11.25">
      <c r="A19" s="92" t="s">
        <v>901</v>
      </c>
      <c r="B19" s="629">
        <f>B50</f>
        <v>879503</v>
      </c>
    </row>
    <row r="20" spans="1:2" s="167" customFormat="1" ht="11.25">
      <c r="A20" s="630" t="s">
        <v>756</v>
      </c>
      <c r="B20" s="629">
        <f>B21+B22</f>
        <v>377672</v>
      </c>
    </row>
    <row r="21" spans="1:2" s="167" customFormat="1" ht="11.25">
      <c r="A21" s="634" t="s">
        <v>757</v>
      </c>
      <c r="B21" s="631">
        <v>0</v>
      </c>
    </row>
    <row r="22" spans="1:2" s="167" customFormat="1" ht="11.25">
      <c r="A22" s="634" t="s">
        <v>758</v>
      </c>
      <c r="B22" s="631">
        <v>377672</v>
      </c>
    </row>
    <row r="23" spans="1:2" s="167" customFormat="1" ht="11.25">
      <c r="A23" s="66" t="s">
        <v>759</v>
      </c>
      <c r="B23" s="629">
        <v>0</v>
      </c>
    </row>
    <row r="24" spans="1:2" s="167" customFormat="1" ht="11.25">
      <c r="A24" s="66" t="s">
        <v>760</v>
      </c>
      <c r="B24" s="629">
        <v>49232</v>
      </c>
    </row>
    <row r="25" spans="1:2" s="167" customFormat="1" ht="11.25">
      <c r="A25" s="66" t="s">
        <v>761</v>
      </c>
      <c r="B25" s="629">
        <f>B26+B27+B28</f>
        <v>-408736</v>
      </c>
    </row>
    <row r="26" spans="1:5" s="167" customFormat="1" ht="11.25">
      <c r="A26" s="634" t="s">
        <v>762</v>
      </c>
      <c r="B26" s="631">
        <f>-359504</f>
        <v>-359504</v>
      </c>
      <c r="E26" s="682"/>
    </row>
    <row r="27" spans="1:2" s="167" customFormat="1" ht="11.25">
      <c r="A27" s="634" t="s">
        <v>763</v>
      </c>
      <c r="B27" s="631">
        <v>-49232</v>
      </c>
    </row>
    <row r="28" spans="1:2" s="167" customFormat="1" ht="11.25">
      <c r="A28" s="634" t="s">
        <v>827</v>
      </c>
      <c r="B28" s="631">
        <v>0</v>
      </c>
    </row>
    <row r="29" spans="1:2" s="167" customFormat="1" ht="11.25">
      <c r="A29" s="66" t="s">
        <v>710</v>
      </c>
      <c r="B29" s="629">
        <v>0</v>
      </c>
    </row>
    <row r="30" spans="1:2" s="167" customFormat="1" ht="11.25">
      <c r="A30" s="66" t="s">
        <v>765</v>
      </c>
      <c r="B30" s="629">
        <f>-2076+698</f>
        <v>-1378</v>
      </c>
    </row>
    <row r="31" spans="1:2" s="167" customFormat="1" ht="11.25">
      <c r="A31" s="92" t="s">
        <v>902</v>
      </c>
      <c r="B31" s="629">
        <f>B19+B20+B23+B24+B25+B29+B30</f>
        <v>896293</v>
      </c>
    </row>
    <row r="32" spans="1:2" s="167" customFormat="1" ht="12.75">
      <c r="A32"/>
      <c r="B32"/>
    </row>
    <row r="33" spans="1:2" s="167" customFormat="1" ht="12.75">
      <c r="A33"/>
      <c r="B33"/>
    </row>
    <row r="34" spans="1:2" s="167" customFormat="1" ht="22.5">
      <c r="A34" s="587"/>
      <c r="B34" s="150" t="s">
        <v>633</v>
      </c>
    </row>
    <row r="35" spans="1:2" s="167" customFormat="1" ht="11.25">
      <c r="A35" s="92" t="s">
        <v>813</v>
      </c>
      <c r="B35" s="629">
        <v>1516577</v>
      </c>
    </row>
    <row r="36" spans="1:2" s="167" customFormat="1" ht="11.25" customHeight="1" hidden="1">
      <c r="A36" s="630" t="s">
        <v>766</v>
      </c>
      <c r="B36" s="629"/>
    </row>
    <row r="37" spans="1:2" s="167" customFormat="1" ht="11.25" hidden="1">
      <c r="A37" s="630" t="s">
        <v>815</v>
      </c>
      <c r="B37" s="629">
        <f>B35+B36</f>
        <v>1516577</v>
      </c>
    </row>
    <row r="38" spans="1:2" s="167" customFormat="1" ht="12" customHeight="1">
      <c r="A38" s="630" t="s">
        <v>756</v>
      </c>
      <c r="B38" s="629">
        <f>B39+B41</f>
        <v>235600</v>
      </c>
    </row>
    <row r="39" spans="1:2" s="167" customFormat="1" ht="12" customHeight="1">
      <c r="A39" s="634" t="s">
        <v>757</v>
      </c>
      <c r="B39" s="631">
        <v>0</v>
      </c>
    </row>
    <row r="40" spans="1:2" s="167" customFormat="1" ht="11.25">
      <c r="A40" s="634" t="s">
        <v>768</v>
      </c>
      <c r="B40" s="631">
        <v>0</v>
      </c>
    </row>
    <row r="41" spans="1:7" s="460" customFormat="1" ht="11.25">
      <c r="A41" s="634" t="s">
        <v>758</v>
      </c>
      <c r="B41" s="631">
        <v>235600</v>
      </c>
      <c r="C41" s="167"/>
      <c r="D41" s="167"/>
      <c r="E41" s="167"/>
      <c r="F41" s="167"/>
      <c r="G41" s="167"/>
    </row>
    <row r="42" spans="1:2" s="167" customFormat="1" ht="11.25">
      <c r="A42" s="66" t="s">
        <v>759</v>
      </c>
      <c r="B42" s="629">
        <v>666398</v>
      </c>
    </row>
    <row r="43" spans="1:2" s="167" customFormat="1" ht="11.25">
      <c r="A43" s="66" t="s">
        <v>760</v>
      </c>
      <c r="B43" s="629">
        <v>18468</v>
      </c>
    </row>
    <row r="44" spans="1:2" s="167" customFormat="1" ht="11.25">
      <c r="A44" s="66" t="s">
        <v>761</v>
      </c>
      <c r="B44" s="629">
        <f>B45+B46+B47</f>
        <v>-1409709</v>
      </c>
    </row>
    <row r="45" spans="1:2" s="167" customFormat="1" ht="11.25">
      <c r="A45" s="634" t="s">
        <v>762</v>
      </c>
      <c r="B45" s="631">
        <v>-466897</v>
      </c>
    </row>
    <row r="46" spans="1:7" s="460" customFormat="1" ht="11.25">
      <c r="A46" s="634" t="s">
        <v>763</v>
      </c>
      <c r="B46" s="631">
        <v>-18468</v>
      </c>
      <c r="C46" s="167"/>
      <c r="D46" s="167"/>
      <c r="E46" s="167"/>
      <c r="F46" s="167"/>
      <c r="G46" s="167"/>
    </row>
    <row r="47" spans="1:2" s="167" customFormat="1" ht="11.25">
      <c r="A47" s="634" t="s">
        <v>827</v>
      </c>
      <c r="B47" s="631">
        <v>-924344</v>
      </c>
    </row>
    <row r="48" spans="1:2" s="167" customFormat="1" ht="11.25">
      <c r="A48" s="66" t="s">
        <v>710</v>
      </c>
      <c r="B48" s="629">
        <v>0</v>
      </c>
    </row>
    <row r="49" spans="1:2" s="167" customFormat="1" ht="11.25">
      <c r="A49" s="66" t="s">
        <v>765</v>
      </c>
      <c r="B49" s="629">
        <v>-147831</v>
      </c>
    </row>
    <row r="50" spans="1:2" s="167" customFormat="1" ht="11.25">
      <c r="A50" s="92" t="s">
        <v>814</v>
      </c>
      <c r="B50" s="629">
        <f>B37+B38+B42+B43+B44+B48+B49</f>
        <v>879503</v>
      </c>
    </row>
    <row r="51" s="167" customFormat="1" ht="11.25"/>
    <row r="52" s="167" customFormat="1" ht="11.25"/>
    <row r="53" s="167" customFormat="1" ht="11.25"/>
    <row r="54" s="167" customFormat="1" ht="11.25"/>
    <row r="55" s="167" customFormat="1" ht="11.25"/>
    <row r="56" s="167" customFormat="1" ht="11.25"/>
    <row r="57" s="167" customFormat="1" ht="11.25"/>
    <row r="58" s="167" customFormat="1" ht="11.25"/>
    <row r="59" s="167" customFormat="1" ht="11.25"/>
    <row r="60" s="167" customFormat="1" ht="9.75" customHeight="1"/>
    <row r="61" s="167" customFormat="1" ht="11.25"/>
    <row r="62" s="167" customFormat="1" ht="11.25"/>
    <row r="63" s="167" customFormat="1" ht="11.25"/>
    <row r="64" s="167" customFormat="1" ht="11.25"/>
    <row r="65" s="167" customFormat="1" ht="11.25"/>
    <row r="66" s="167" customFormat="1" ht="11.25"/>
    <row r="67" s="167" customFormat="1" ht="11.25"/>
    <row r="68" s="167" customFormat="1" ht="11.25"/>
    <row r="69" s="167" customFormat="1" ht="11.25"/>
    <row r="70" s="167" customFormat="1" ht="11.25"/>
    <row r="71" s="167" customFormat="1" ht="11.25"/>
    <row r="72" s="167" customFormat="1" ht="11.25"/>
    <row r="73" s="167" customFormat="1" ht="11.25"/>
    <row r="74" s="167" customFormat="1" ht="11.25"/>
    <row r="75" s="167" customFormat="1" ht="11.25"/>
    <row r="76" s="167" customFormat="1" ht="11.25"/>
    <row r="77" s="167" customFormat="1" ht="11.25"/>
    <row r="78" s="167" customFormat="1" ht="11.25"/>
    <row r="79" s="167" customFormat="1" ht="11.25"/>
    <row r="80" s="167" customFormat="1" ht="11.25"/>
    <row r="81" s="167" customFormat="1" ht="11.25"/>
    <row r="82" s="167" customFormat="1" ht="11.25"/>
    <row r="83" s="167" customFormat="1" ht="11.25"/>
    <row r="84" s="167" customFormat="1" ht="11.25"/>
    <row r="85" s="167" customFormat="1" ht="11.25"/>
    <row r="86" s="167" customFormat="1" ht="11.25"/>
    <row r="87" s="167" customFormat="1" ht="11.25"/>
    <row r="88" s="167" customFormat="1" ht="11.25"/>
    <row r="89" s="167" customFormat="1" ht="11.25"/>
    <row r="90" s="167" customFormat="1" ht="11.25"/>
    <row r="91" s="167" customFormat="1" ht="11.25"/>
    <row r="92" s="167" customFormat="1" ht="11.25"/>
    <row r="93" s="167" customFormat="1" ht="11.25"/>
    <row r="94" s="167" customFormat="1" ht="11.25"/>
    <row r="95" s="167" customFormat="1" ht="11.25"/>
    <row r="96" s="167" customFormat="1" ht="11.25"/>
    <row r="97" s="167" customFormat="1" ht="11.25"/>
    <row r="98" s="167" customFormat="1" ht="11.25"/>
    <row r="99" s="167" customFormat="1" ht="11.25"/>
    <row r="100" s="167" customFormat="1" ht="11.25"/>
    <row r="101" s="167" customFormat="1" ht="11.25"/>
    <row r="102" s="167" customFormat="1" ht="11.25"/>
    <row r="103" s="167" customFormat="1" ht="11.25"/>
    <row r="104" s="167" customFormat="1" ht="11.25"/>
    <row r="105" s="167" customFormat="1" ht="11.25"/>
    <row r="106" s="167" customFormat="1" ht="11.25"/>
    <row r="107" s="167" customFormat="1" ht="11.25"/>
    <row r="108" s="167" customFormat="1" ht="11.25"/>
    <row r="109" s="167" customFormat="1" ht="11.25"/>
    <row r="110" s="167" customFormat="1" ht="11.25"/>
    <row r="111" s="167" customFormat="1" ht="11.25"/>
    <row r="112" s="167" customFormat="1" ht="11.25"/>
    <row r="113" s="167" customFormat="1" ht="11.25"/>
    <row r="114" s="167" customFormat="1" ht="11.25"/>
    <row r="115" s="167" customFormat="1" ht="11.25"/>
    <row r="116" s="167" customFormat="1" ht="11.25"/>
    <row r="117" s="167" customFormat="1" ht="11.25"/>
    <row r="118" s="167" customFormat="1" ht="11.25"/>
    <row r="119" s="167" customFormat="1" ht="11.25"/>
    <row r="120" s="167" customFormat="1" ht="11.25"/>
    <row r="121" s="167" customFormat="1" ht="11.25"/>
    <row r="122" s="167" customFormat="1" ht="11.25"/>
    <row r="123" s="167" customFormat="1" ht="11.25"/>
    <row r="124" s="167" customFormat="1" ht="11.25"/>
    <row r="125" s="167" customFormat="1" ht="11.25"/>
    <row r="126" s="167" customFormat="1" ht="11.25"/>
    <row r="127" s="167" customFormat="1" ht="11.25"/>
    <row r="128" s="167" customFormat="1" ht="11.25"/>
    <row r="129" s="167" customFormat="1" ht="11.25"/>
    <row r="130" s="167" customFormat="1" ht="11.25"/>
    <row r="131" s="167" customFormat="1" ht="11.25"/>
    <row r="132" s="167" customFormat="1" ht="11.25"/>
    <row r="133" s="167" customFormat="1" ht="11.25"/>
    <row r="134" s="167" customFormat="1" ht="11.25"/>
    <row r="135" s="167" customFormat="1" ht="11.25"/>
    <row r="136" s="167" customFormat="1" ht="11.25"/>
    <row r="137" s="167" customFormat="1" ht="11.25"/>
    <row r="138" s="167" customFormat="1" ht="11.25"/>
    <row r="139" s="167" customFormat="1" ht="33.75" customHeight="1"/>
    <row r="140" s="167" customFormat="1" ht="11.25"/>
    <row r="141" s="167" customFormat="1" ht="11.25"/>
    <row r="142" s="167" customFormat="1" ht="11.25"/>
    <row r="143" s="167" customFormat="1" ht="11.25"/>
    <row r="144" s="167" customFormat="1" ht="11.25"/>
  </sheetData>
  <sheetProtection/>
  <printOptions/>
  <pageMargins left="0.7" right="0.7" top="0.75" bottom="0.75" header="0.3" footer="0.3"/>
  <pageSetup horizontalDpi="600" verticalDpi="600" orientation="portrait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8"/>
  <sheetViews>
    <sheetView showGridLines="0" view="pageBreakPreview" zoomScaleSheetLayoutView="100" zoomScalePageLayoutView="0" workbookViewId="0" topLeftCell="A1">
      <selection activeCell="A18" sqref="A18:C35"/>
    </sheetView>
  </sheetViews>
  <sheetFormatPr defaultColWidth="9.28125" defaultRowHeight="12.75"/>
  <cols>
    <col min="1" max="1" width="36.57421875" style="52" customWidth="1"/>
    <col min="2" max="8" width="10.421875" style="52" customWidth="1"/>
    <col min="9" max="16384" width="9.28125" style="52" customWidth="1"/>
  </cols>
  <sheetData>
    <row r="1" ht="12.75">
      <c r="A1" s="75"/>
    </row>
    <row r="2" s="3" customFormat="1" ht="12.75">
      <c r="A2" s="467" t="s">
        <v>852</v>
      </c>
    </row>
    <row r="3" s="3" customFormat="1" ht="11.25">
      <c r="A3" s="53"/>
    </row>
    <row r="4" s="3" customFormat="1" ht="11.25">
      <c r="A4" s="72" t="s">
        <v>199</v>
      </c>
    </row>
    <row r="5" s="3" customFormat="1" ht="11.25">
      <c r="A5" s="72"/>
    </row>
    <row r="6" spans="1:3" s="3" customFormat="1" ht="11.25">
      <c r="A6" s="133" t="s">
        <v>647</v>
      </c>
      <c r="B6" s="586">
        <f>'Dane podstawowe'!$B$9</f>
        <v>44926</v>
      </c>
      <c r="C6" s="586">
        <f>'Dane podstawowe'!$B$14</f>
        <v>44561</v>
      </c>
    </row>
    <row r="7" spans="1:3" s="3" customFormat="1" ht="11.25">
      <c r="A7" s="188" t="s">
        <v>199</v>
      </c>
      <c r="B7" s="123">
        <f>SUM(B8:B9)</f>
        <v>2637374</v>
      </c>
      <c r="C7" s="123">
        <f>SUM(C8:C9)</f>
        <v>1850133</v>
      </c>
    </row>
    <row r="8" spans="1:3" s="3" customFormat="1" ht="11.25">
      <c r="A8" s="217" t="s">
        <v>301</v>
      </c>
      <c r="B8" s="195">
        <v>779950</v>
      </c>
      <c r="C8" s="195">
        <v>1097816</v>
      </c>
    </row>
    <row r="9" spans="1:3" s="3" customFormat="1" ht="11.25">
      <c r="A9" s="217" t="s">
        <v>302</v>
      </c>
      <c r="B9" s="195">
        <v>1857424</v>
      </c>
      <c r="C9" s="195">
        <v>752317</v>
      </c>
    </row>
    <row r="10" spans="1:3" s="3" customFormat="1" ht="11.25">
      <c r="A10" s="214"/>
      <c r="B10" s="375">
        <f>Pasywa!D22-'NOTA 21,22 - Zob. hand. i pozos'!B7</f>
        <v>0</v>
      </c>
      <c r="C10" s="375">
        <f>Pasywa!E22-'NOTA 21,22 - Zob. hand. i pozos'!C7</f>
        <v>0</v>
      </c>
    </row>
    <row r="11" spans="1:3" s="3" customFormat="1" ht="11.25">
      <c r="A11" s="216"/>
      <c r="B11" s="215"/>
      <c r="C11" s="215"/>
    </row>
    <row r="12" spans="1:3" s="62" customFormat="1" ht="11.25">
      <c r="A12" s="214"/>
      <c r="B12" s="215"/>
      <c r="C12" s="215"/>
    </row>
    <row r="13" spans="1:3" s="3" customFormat="1" ht="11.25">
      <c r="A13" s="214"/>
      <c r="B13" s="215"/>
      <c r="C13" s="215"/>
    </row>
    <row r="14" s="468" customFormat="1" ht="12.75">
      <c r="A14" s="467" t="s">
        <v>853</v>
      </c>
    </row>
    <row r="15" s="62" customFormat="1" ht="11.25">
      <c r="A15" s="53"/>
    </row>
    <row r="16" spans="1:3" s="62" customFormat="1" ht="11.25">
      <c r="A16" s="214" t="s">
        <v>475</v>
      </c>
      <c r="B16" s="215"/>
      <c r="C16" s="215"/>
    </row>
    <row r="17" spans="1:3" s="3" customFormat="1" ht="11.25">
      <c r="A17" s="214"/>
      <c r="B17" s="215"/>
      <c r="C17" s="215"/>
    </row>
    <row r="18" spans="1:3" s="3" customFormat="1" ht="11.25">
      <c r="A18" s="133" t="s">
        <v>330</v>
      </c>
      <c r="B18" s="586">
        <f>'Dane podstawowe'!B9</f>
        <v>44926</v>
      </c>
      <c r="C18" s="586">
        <f>'Dane podstawowe'!B14</f>
        <v>44561</v>
      </c>
    </row>
    <row r="19" spans="1:3" s="3" customFormat="1" ht="33.75">
      <c r="A19" s="188" t="s">
        <v>317</v>
      </c>
      <c r="B19" s="160">
        <f>SUM(B20:B27)</f>
        <v>324304</v>
      </c>
      <c r="C19" s="160">
        <f>SUM(C20:C27)</f>
        <v>423385</v>
      </c>
    </row>
    <row r="20" spans="1:7" s="3" customFormat="1" ht="11.25">
      <c r="A20" s="217" t="s">
        <v>303</v>
      </c>
      <c r="B20" s="195">
        <v>0</v>
      </c>
      <c r="C20" s="195">
        <v>0</v>
      </c>
      <c r="G20" s="62"/>
    </row>
    <row r="21" spans="1:3" s="3" customFormat="1" ht="11.25">
      <c r="A21" s="217" t="s">
        <v>304</v>
      </c>
      <c r="B21" s="195">
        <v>3336</v>
      </c>
      <c r="C21" s="195">
        <v>3578</v>
      </c>
    </row>
    <row r="22" spans="1:3" s="3" customFormat="1" ht="11.25">
      <c r="A22" s="217" t="s">
        <v>828</v>
      </c>
      <c r="B22" s="195">
        <f>123853+983</f>
        <v>124836</v>
      </c>
      <c r="C22" s="195">
        <v>108968</v>
      </c>
    </row>
    <row r="23" spans="1:3" s="3" customFormat="1" ht="11.25">
      <c r="A23" s="217" t="s">
        <v>478</v>
      </c>
      <c r="B23" s="195">
        <f>386330-192030</f>
        <v>194300</v>
      </c>
      <c r="C23" s="195">
        <v>308755</v>
      </c>
    </row>
    <row r="24" spans="1:3" s="3" customFormat="1" ht="11.25">
      <c r="A24" s="217" t="s">
        <v>567</v>
      </c>
      <c r="B24" s="195">
        <v>1832</v>
      </c>
      <c r="C24" s="195">
        <v>2084</v>
      </c>
    </row>
    <row r="25" spans="1:3" s="3" customFormat="1" ht="11.25" hidden="1">
      <c r="A25" s="217" t="s">
        <v>480</v>
      </c>
      <c r="B25" s="195">
        <v>0</v>
      </c>
      <c r="C25" s="195">
        <v>0</v>
      </c>
    </row>
    <row r="26" spans="1:3" s="3" customFormat="1" ht="11.25" hidden="1">
      <c r="A26" s="217" t="s">
        <v>479</v>
      </c>
      <c r="B26" s="195">
        <v>0</v>
      </c>
      <c r="C26" s="195">
        <v>0</v>
      </c>
    </row>
    <row r="27" spans="1:3" s="3" customFormat="1" ht="11.25" hidden="1">
      <c r="A27" s="217" t="s">
        <v>65</v>
      </c>
      <c r="B27" s="195">
        <v>0</v>
      </c>
      <c r="C27" s="195">
        <v>0</v>
      </c>
    </row>
    <row r="28" spans="1:3" s="3" customFormat="1" ht="11.25">
      <c r="A28" s="188" t="s">
        <v>305</v>
      </c>
      <c r="B28" s="160">
        <f>SUM(B29:B33)</f>
        <v>1991686</v>
      </c>
      <c r="C28" s="160">
        <f>SUM(C29:C33)</f>
        <v>3044235</v>
      </c>
    </row>
    <row r="29" spans="1:3" s="3" customFormat="1" ht="21.75" customHeight="1">
      <c r="A29" s="217" t="s">
        <v>306</v>
      </c>
      <c r="B29" s="195">
        <v>641633</v>
      </c>
      <c r="C29" s="195">
        <v>423277</v>
      </c>
    </row>
    <row r="30" spans="1:3" s="3" customFormat="1" ht="23.25" customHeight="1">
      <c r="A30" s="217" t="s">
        <v>935</v>
      </c>
      <c r="B30" s="195">
        <v>1000000</v>
      </c>
      <c r="C30" s="195">
        <v>2618400</v>
      </c>
    </row>
    <row r="31" spans="1:3" s="3" customFormat="1" ht="11.25">
      <c r="A31" s="217" t="s">
        <v>936</v>
      </c>
      <c r="B31" s="195">
        <v>346000</v>
      </c>
      <c r="C31" s="195">
        <v>0</v>
      </c>
    </row>
    <row r="32" spans="1:3" s="3" customFormat="1" ht="22.5" hidden="1">
      <c r="A32" s="217" t="s">
        <v>568</v>
      </c>
      <c r="B32" s="195"/>
      <c r="C32" s="195"/>
    </row>
    <row r="33" spans="1:3" s="3" customFormat="1" ht="11.25">
      <c r="A33" s="217" t="s">
        <v>307</v>
      </c>
      <c r="B33" s="195">
        <v>4053</v>
      </c>
      <c r="C33" s="195">
        <v>2558</v>
      </c>
    </row>
    <row r="34" spans="1:3" s="3" customFormat="1" ht="11.25" hidden="1">
      <c r="A34" s="188" t="s">
        <v>481</v>
      </c>
      <c r="B34" s="385">
        <v>0</v>
      </c>
      <c r="C34" s="385">
        <v>0</v>
      </c>
    </row>
    <row r="35" spans="1:3" s="3" customFormat="1" ht="11.25">
      <c r="A35" s="187" t="s">
        <v>239</v>
      </c>
      <c r="B35" s="123">
        <f>B19+B28+B34</f>
        <v>2315990</v>
      </c>
      <c r="C35" s="123">
        <f>C19+C28+C34</f>
        <v>3467620</v>
      </c>
    </row>
    <row r="36" spans="1:3" s="3" customFormat="1" ht="11.25">
      <c r="A36" s="62"/>
      <c r="B36" s="375">
        <f>Pasywa!D24-B35</f>
        <v>0</v>
      </c>
      <c r="C36" s="375">
        <f>Pasywa!E24-C35</f>
        <v>0</v>
      </c>
    </row>
    <row r="38" s="3" customFormat="1" ht="11.25">
      <c r="A38" s="87"/>
    </row>
  </sheetData>
  <sheetProtection/>
  <printOptions/>
  <pageMargins left="0.75" right="0.75" top="1" bottom="1" header="0.5" footer="0.5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5"/>
  <sheetViews>
    <sheetView showGridLines="0" view="pageBreakPreview" zoomScale="90" zoomScaleSheetLayoutView="90" zoomScalePageLayoutView="0" workbookViewId="0" topLeftCell="A1">
      <selection activeCell="A4" sqref="A4:C19"/>
    </sheetView>
  </sheetViews>
  <sheetFormatPr defaultColWidth="9.28125" defaultRowHeight="12.75"/>
  <cols>
    <col min="1" max="1" width="50.421875" style="52" customWidth="1"/>
    <col min="2" max="5" width="16.57421875" style="52" customWidth="1"/>
    <col min="6" max="6" width="9.28125" style="52" customWidth="1"/>
    <col min="7" max="7" width="10.00390625" style="52" customWidth="1"/>
    <col min="8" max="8" width="10.28125" style="52" customWidth="1"/>
    <col min="9" max="9" width="10.421875" style="52" customWidth="1"/>
    <col min="10" max="16384" width="9.28125" style="52" customWidth="1"/>
  </cols>
  <sheetData>
    <row r="1" ht="12.75">
      <c r="A1" s="75"/>
    </row>
    <row r="2" s="468" customFormat="1" ht="12.75">
      <c r="A2" s="467" t="s">
        <v>854</v>
      </c>
    </row>
    <row r="3" s="3" customFormat="1" ht="11.25"/>
    <row r="4" spans="1:3" s="3" customFormat="1" ht="11.25">
      <c r="A4" s="146" t="s">
        <v>330</v>
      </c>
      <c r="B4" s="586">
        <f>'Dane podstawowe'!$B$9</f>
        <v>44926</v>
      </c>
      <c r="C4" s="586">
        <f>'Dane podstawowe'!$B$14</f>
        <v>44561</v>
      </c>
    </row>
    <row r="5" spans="1:3" s="3" customFormat="1" ht="11.25">
      <c r="A5" s="218" t="s">
        <v>929</v>
      </c>
      <c r="B5" s="123">
        <f>B7</f>
        <v>163900</v>
      </c>
      <c r="C5" s="123">
        <f>C7</f>
        <v>298006</v>
      </c>
    </row>
    <row r="6" spans="1:3" s="3" customFormat="1" ht="11.25" hidden="1">
      <c r="A6" s="70" t="s">
        <v>599</v>
      </c>
      <c r="B6" s="113">
        <v>0</v>
      </c>
      <c r="C6" s="113">
        <v>0</v>
      </c>
    </row>
    <row r="7" spans="1:3" s="3" customFormat="1" ht="11.25">
      <c r="A7" s="70" t="s">
        <v>930</v>
      </c>
      <c r="B7" s="113">
        <f>SUM(B8:B10)</f>
        <v>163900</v>
      </c>
      <c r="C7" s="113">
        <f>SUM(C8:C10)</f>
        <v>298006</v>
      </c>
    </row>
    <row r="8" spans="1:3" s="3" customFormat="1" ht="11.25">
      <c r="A8" s="76" t="s">
        <v>926</v>
      </c>
      <c r="B8" s="195">
        <v>46842</v>
      </c>
      <c r="C8" s="195">
        <v>66867</v>
      </c>
    </row>
    <row r="9" spans="1:3" s="3" customFormat="1" ht="11.25">
      <c r="A9" s="76" t="s">
        <v>927</v>
      </c>
      <c r="B9" s="195">
        <v>66967</v>
      </c>
      <c r="C9" s="195">
        <v>215180</v>
      </c>
    </row>
    <row r="10" spans="1:3" s="3" customFormat="1" ht="11.25">
      <c r="A10" s="76" t="s">
        <v>928</v>
      </c>
      <c r="B10" s="195">
        <v>50091</v>
      </c>
      <c r="C10" s="195">
        <v>15959</v>
      </c>
    </row>
    <row r="11" spans="1:3" s="3" customFormat="1" ht="11.25" hidden="1">
      <c r="A11" s="218" t="s">
        <v>483</v>
      </c>
      <c r="B11" s="123">
        <f>SUM(B12:B16)</f>
        <v>0</v>
      </c>
      <c r="C11" s="123">
        <f>SUM(C12:C16)</f>
        <v>0</v>
      </c>
    </row>
    <row r="12" spans="1:3" s="3" customFormat="1" ht="11.25" hidden="1">
      <c r="A12" s="69"/>
      <c r="B12" s="113"/>
      <c r="C12" s="113"/>
    </row>
    <row r="13" spans="1:3" s="3" customFormat="1" ht="11.25" hidden="1">
      <c r="A13" s="69"/>
      <c r="B13" s="113"/>
      <c r="C13" s="113"/>
    </row>
    <row r="14" spans="1:3" s="3" customFormat="1" ht="11.25" hidden="1">
      <c r="A14" s="69"/>
      <c r="B14" s="113"/>
      <c r="C14" s="113"/>
    </row>
    <row r="15" spans="1:3" s="3" customFormat="1" ht="11.25" hidden="1">
      <c r="A15" s="69"/>
      <c r="B15" s="123"/>
      <c r="C15" s="123"/>
    </row>
    <row r="16" spans="1:3" s="3" customFormat="1" ht="12.75" hidden="1">
      <c r="A16" s="69"/>
      <c r="B16" s="209"/>
      <c r="C16" s="209"/>
    </row>
    <row r="17" spans="1:3" s="3" customFormat="1" ht="11.25">
      <c r="A17" s="77" t="s">
        <v>246</v>
      </c>
      <c r="B17" s="123">
        <f>B5+B11</f>
        <v>163900</v>
      </c>
      <c r="C17" s="123">
        <f>C5+C11</f>
        <v>298006</v>
      </c>
    </row>
    <row r="18" spans="1:3" s="3" customFormat="1" ht="11.25">
      <c r="A18" s="76" t="s">
        <v>380</v>
      </c>
      <c r="B18" s="195">
        <v>0</v>
      </c>
      <c r="C18" s="195">
        <v>0</v>
      </c>
    </row>
    <row r="19" spans="1:3" s="3" customFormat="1" ht="11.25">
      <c r="A19" s="76" t="s">
        <v>379</v>
      </c>
      <c r="B19" s="195">
        <v>163900</v>
      </c>
      <c r="C19" s="195">
        <v>298006</v>
      </c>
    </row>
    <row r="20" spans="2:3" s="3" customFormat="1" ht="11.25">
      <c r="B20" s="379">
        <f>Pasywa!D25-'NOTA 23 - RMP'!B17</f>
        <v>0</v>
      </c>
      <c r="C20" s="379">
        <f>Pasywa!E25-'NOTA 23 - RMP'!C17</f>
        <v>0</v>
      </c>
    </row>
    <row r="21" s="3" customFormat="1" ht="11.25" customHeight="1"/>
    <row r="22" s="3" customFormat="1" ht="11.25"/>
    <row r="23" s="3" customFormat="1" ht="11.25"/>
    <row r="24" s="3" customFormat="1" ht="11.25"/>
    <row r="25" s="3" customFormat="1" ht="11.25"/>
    <row r="26" s="3" customFormat="1" ht="11.25"/>
    <row r="27" s="3" customFormat="1" ht="11.25"/>
    <row r="28" s="3" customFormat="1" ht="11.25"/>
    <row r="29" s="3" customFormat="1" ht="11.25"/>
    <row r="45" ht="12.75">
      <c r="F45" s="373"/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SheetLayoutView="90" zoomScalePageLayoutView="0" workbookViewId="0" topLeftCell="A17">
      <selection activeCell="A17" sqref="A17:E31"/>
    </sheetView>
  </sheetViews>
  <sheetFormatPr defaultColWidth="9.28125" defaultRowHeight="12.75"/>
  <cols>
    <col min="1" max="1" width="54.7109375" style="52" customWidth="1"/>
    <col min="2" max="2" width="15.00390625" style="52" customWidth="1"/>
    <col min="3" max="3" width="14.57421875" style="52" customWidth="1"/>
    <col min="4" max="4" width="14.28125" style="52" customWidth="1"/>
    <col min="5" max="5" width="12.57421875" style="52" customWidth="1"/>
    <col min="6" max="16384" width="9.28125" style="52" customWidth="1"/>
  </cols>
  <sheetData>
    <row r="1" ht="12.75">
      <c r="A1" s="75"/>
    </row>
    <row r="2" s="468" customFormat="1" ht="12.75">
      <c r="A2" s="467" t="s">
        <v>855</v>
      </c>
    </row>
    <row r="3" s="3" customFormat="1" ht="11.25"/>
    <row r="4" spans="1:3" s="3" customFormat="1" ht="11.25">
      <c r="A4" s="189"/>
      <c r="B4" s="586">
        <f>'Dane podstawowe'!$B$9</f>
        <v>44926</v>
      </c>
      <c r="C4" s="586">
        <f>'Dane podstawowe'!$B$14</f>
        <v>44561</v>
      </c>
    </row>
    <row r="5" spans="1:3" s="3" customFormat="1" ht="11.25">
      <c r="A5" s="65" t="s">
        <v>141</v>
      </c>
      <c r="B5" s="106">
        <v>0</v>
      </c>
      <c r="C5" s="106">
        <v>0</v>
      </c>
    </row>
    <row r="6" spans="1:3" s="3" customFormat="1" ht="11.25">
      <c r="A6" s="65" t="s">
        <v>142</v>
      </c>
      <c r="B6" s="106">
        <v>0</v>
      </c>
      <c r="C6" s="106">
        <v>0</v>
      </c>
    </row>
    <row r="7" spans="1:3" s="3" customFormat="1" ht="11.25">
      <c r="A7" s="65" t="s">
        <v>143</v>
      </c>
      <c r="B7" s="106">
        <v>399784</v>
      </c>
      <c r="C7" s="106">
        <v>291384</v>
      </c>
    </row>
    <row r="8" spans="1:3" s="3" customFormat="1" ht="11.25">
      <c r="A8" s="65" t="s">
        <v>144</v>
      </c>
      <c r="B8" s="106">
        <v>87954</v>
      </c>
      <c r="C8" s="106">
        <v>268027</v>
      </c>
    </row>
    <row r="9" spans="1:3" s="3" customFormat="1" ht="11.25">
      <c r="A9" s="92" t="s">
        <v>332</v>
      </c>
      <c r="B9" s="105">
        <f>SUM(B5:B8)</f>
        <v>487738</v>
      </c>
      <c r="C9" s="105">
        <f>SUM(C5:C8)</f>
        <v>559411</v>
      </c>
    </row>
    <row r="10" spans="1:3" s="3" customFormat="1" ht="11.25">
      <c r="A10" s="65" t="s">
        <v>460</v>
      </c>
      <c r="B10" s="106">
        <v>0</v>
      </c>
      <c r="C10" s="106">
        <v>0</v>
      </c>
    </row>
    <row r="11" spans="1:3" s="3" customFormat="1" ht="11.25">
      <c r="A11" s="65" t="s">
        <v>461</v>
      </c>
      <c r="B11" s="106">
        <v>473544</v>
      </c>
      <c r="C11" s="106">
        <v>559411</v>
      </c>
    </row>
    <row r="12" spans="2:3" s="3" customFormat="1" ht="11.25">
      <c r="B12" s="375">
        <f>(Pasywa!D26+Pasywa!H14)-'NOTA 24,25 - Rezerwy'!B9</f>
        <v>0</v>
      </c>
      <c r="C12" s="375">
        <f>(Pasywa!E26+Pasywa!E17)-'NOTA 24,25 - Rezerwy'!C9</f>
        <v>0</v>
      </c>
    </row>
    <row r="13" s="3" customFormat="1" ht="11.25"/>
    <row r="14" s="3" customFormat="1" ht="11.25"/>
    <row r="15" s="3" customFormat="1" ht="11.25">
      <c r="A15" s="73" t="s">
        <v>212</v>
      </c>
    </row>
    <row r="16" s="3" customFormat="1" ht="11.25"/>
    <row r="17" spans="1:5" s="48" customFormat="1" ht="45">
      <c r="A17" s="183"/>
      <c r="B17" s="96" t="s">
        <v>141</v>
      </c>
      <c r="C17" s="96" t="s">
        <v>142</v>
      </c>
      <c r="D17" s="96" t="s">
        <v>143</v>
      </c>
      <c r="E17" s="96" t="s">
        <v>333</v>
      </c>
    </row>
    <row r="18" spans="1:5" s="3" customFormat="1" ht="11.25">
      <c r="A18" s="121" t="s">
        <v>909</v>
      </c>
      <c r="B18" s="105">
        <f>B29</f>
        <v>0</v>
      </c>
      <c r="C18" s="105">
        <f>C29</f>
        <v>0</v>
      </c>
      <c r="D18" s="105">
        <f>D29</f>
        <v>291384</v>
      </c>
      <c r="E18" s="105">
        <f>E29</f>
        <v>268027</v>
      </c>
    </row>
    <row r="19" spans="1:5" s="3" customFormat="1" ht="11.25">
      <c r="A19" s="120" t="s">
        <v>334</v>
      </c>
      <c r="B19" s="106">
        <v>0</v>
      </c>
      <c r="C19" s="106">
        <v>0</v>
      </c>
      <c r="D19" s="212">
        <v>154752</v>
      </c>
      <c r="E19" s="212">
        <v>567704</v>
      </c>
    </row>
    <row r="20" spans="1:5" s="3" customFormat="1" ht="11.25">
      <c r="A20" s="120" t="s">
        <v>320</v>
      </c>
      <c r="B20" s="106">
        <v>0</v>
      </c>
      <c r="C20" s="106">
        <v>0</v>
      </c>
      <c r="D20" s="212">
        <v>0</v>
      </c>
      <c r="E20" s="212">
        <f>761971-14194</f>
        <v>747777</v>
      </c>
    </row>
    <row r="21" spans="1:5" s="3" customFormat="1" ht="11.25">
      <c r="A21" s="120" t="s">
        <v>321</v>
      </c>
      <c r="B21" s="106">
        <v>0</v>
      </c>
      <c r="C21" s="106">
        <v>0</v>
      </c>
      <c r="D21" s="212">
        <v>46352</v>
      </c>
      <c r="E21" s="212">
        <v>0</v>
      </c>
    </row>
    <row r="22" spans="1:5" s="3" customFormat="1" ht="11.25">
      <c r="A22" s="121" t="s">
        <v>910</v>
      </c>
      <c r="B22" s="105">
        <f>B18+B19-B20-B21</f>
        <v>0</v>
      </c>
      <c r="C22" s="105">
        <f>C18+C19-C20-C21</f>
        <v>0</v>
      </c>
      <c r="D22" s="105">
        <f>D18+D19-D20-D21</f>
        <v>399784</v>
      </c>
      <c r="E22" s="105">
        <f>E18+E19-E20-E21</f>
        <v>87954</v>
      </c>
    </row>
    <row r="23" spans="1:5" s="3" customFormat="1" ht="11.25">
      <c r="A23" s="65" t="s">
        <v>460</v>
      </c>
      <c r="B23" s="106">
        <v>0</v>
      </c>
      <c r="C23" s="106">
        <v>0</v>
      </c>
      <c r="D23" s="212">
        <v>0</v>
      </c>
      <c r="E23" s="212">
        <v>0</v>
      </c>
    </row>
    <row r="24" spans="1:5" s="3" customFormat="1" ht="11.25">
      <c r="A24" s="65" t="s">
        <v>461</v>
      </c>
      <c r="B24" s="106">
        <v>0</v>
      </c>
      <c r="C24" s="106">
        <v>0</v>
      </c>
      <c r="D24" s="212">
        <v>399784</v>
      </c>
      <c r="E24" s="212">
        <v>87954</v>
      </c>
    </row>
    <row r="25" spans="1:5" s="3" customFormat="1" ht="11.25">
      <c r="A25" s="121" t="s">
        <v>816</v>
      </c>
      <c r="B25" s="123">
        <v>0</v>
      </c>
      <c r="C25" s="123">
        <v>0</v>
      </c>
      <c r="D25" s="123">
        <v>232362</v>
      </c>
      <c r="E25" s="123">
        <v>98164</v>
      </c>
    </row>
    <row r="26" spans="1:5" s="3" customFormat="1" ht="11.25">
      <c r="A26" s="120" t="s">
        <v>334</v>
      </c>
      <c r="B26" s="195">
        <v>0</v>
      </c>
      <c r="C26" s="195">
        <v>0</v>
      </c>
      <c r="D26" s="212">
        <v>113369</v>
      </c>
      <c r="E26" s="212">
        <v>799371</v>
      </c>
    </row>
    <row r="27" spans="1:5" s="3" customFormat="1" ht="11.25">
      <c r="A27" s="120" t="s">
        <v>320</v>
      </c>
      <c r="B27" s="195">
        <v>0</v>
      </c>
      <c r="C27" s="195">
        <v>0</v>
      </c>
      <c r="D27" s="212">
        <v>0</v>
      </c>
      <c r="E27" s="212">
        <v>615209</v>
      </c>
    </row>
    <row r="28" spans="1:5" s="3" customFormat="1" ht="11.25">
      <c r="A28" s="120" t="s">
        <v>321</v>
      </c>
      <c r="B28" s="195">
        <v>0</v>
      </c>
      <c r="C28" s="195">
        <v>0</v>
      </c>
      <c r="D28" s="212">
        <f>39862+14485</f>
        <v>54347</v>
      </c>
      <c r="E28" s="212">
        <v>14299</v>
      </c>
    </row>
    <row r="29" spans="1:5" s="3" customFormat="1" ht="11.25">
      <c r="A29" s="121" t="s">
        <v>817</v>
      </c>
      <c r="B29" s="123">
        <f>B25+B26-B27-B28</f>
        <v>0</v>
      </c>
      <c r="C29" s="123">
        <f>C25+C26-C27-C28</f>
        <v>0</v>
      </c>
      <c r="D29" s="123">
        <f>D25+D26-D27-D28</f>
        <v>291384</v>
      </c>
      <c r="E29" s="123">
        <f>E25+E26-E27-E28</f>
        <v>268027</v>
      </c>
    </row>
    <row r="30" spans="1:5" s="3" customFormat="1" ht="11.25">
      <c r="A30" s="65" t="s">
        <v>460</v>
      </c>
      <c r="B30" s="195">
        <v>0</v>
      </c>
      <c r="C30" s="195">
        <v>0</v>
      </c>
      <c r="D30" s="195">
        <v>0</v>
      </c>
      <c r="E30" s="195">
        <v>0</v>
      </c>
    </row>
    <row r="31" spans="1:5" s="3" customFormat="1" ht="11.25">
      <c r="A31" s="65" t="s">
        <v>461</v>
      </c>
      <c r="B31" s="195">
        <v>0</v>
      </c>
      <c r="C31" s="195">
        <v>0</v>
      </c>
      <c r="D31" s="195">
        <v>291384</v>
      </c>
      <c r="E31" s="195">
        <v>268027</v>
      </c>
    </row>
    <row r="32" s="3" customFormat="1" ht="11.25"/>
    <row r="33" s="3" customFormat="1" ht="11.25"/>
    <row r="34" s="468" customFormat="1" ht="12.75">
      <c r="A34" s="467" t="s">
        <v>856</v>
      </c>
    </row>
    <row r="35" s="62" customFormat="1" ht="11.25"/>
    <row r="36" spans="1:3" s="62" customFormat="1" ht="11.25">
      <c r="A36" s="189"/>
      <c r="B36" s="586">
        <f>'Dane podstawowe'!$B$9</f>
        <v>44926</v>
      </c>
      <c r="C36" s="586">
        <f>'Dane podstawowe'!$B$14</f>
        <v>44561</v>
      </c>
    </row>
    <row r="37" spans="1:3" s="62" customFormat="1" ht="11.25" hidden="1">
      <c r="A37" s="65" t="s">
        <v>533</v>
      </c>
      <c r="B37" s="106">
        <v>0</v>
      </c>
      <c r="C37" s="106"/>
    </row>
    <row r="38" spans="1:3" s="62" customFormat="1" ht="11.25">
      <c r="A38" s="65" t="s">
        <v>533</v>
      </c>
      <c r="B38" s="106">
        <v>21500</v>
      </c>
      <c r="C38" s="106">
        <v>20000</v>
      </c>
    </row>
    <row r="39" spans="1:3" s="62" customFormat="1" ht="11.25">
      <c r="A39" s="65" t="s">
        <v>534</v>
      </c>
      <c r="B39" s="106">
        <v>0</v>
      </c>
      <c r="C39" s="106">
        <v>0</v>
      </c>
    </row>
    <row r="40" spans="1:3" s="62" customFormat="1" ht="11.25">
      <c r="A40" s="65" t="s">
        <v>821</v>
      </c>
      <c r="B40" s="106">
        <v>71781</v>
      </c>
      <c r="C40" s="106">
        <v>13390</v>
      </c>
    </row>
    <row r="41" spans="1:3" s="62" customFormat="1" ht="11.25" hidden="1">
      <c r="A41" s="68"/>
      <c r="B41" s="106"/>
      <c r="C41" s="106"/>
    </row>
    <row r="42" spans="1:3" s="62" customFormat="1" ht="11.25">
      <c r="A42" s="92" t="s">
        <v>332</v>
      </c>
      <c r="B42" s="105">
        <f>SUM(B37:B41)</f>
        <v>93281</v>
      </c>
      <c r="C42" s="105">
        <f>SUM(C37:C41)</f>
        <v>33390</v>
      </c>
    </row>
    <row r="43" spans="1:3" s="62" customFormat="1" ht="11.25">
      <c r="A43" s="65" t="s">
        <v>460</v>
      </c>
      <c r="B43" s="106">
        <v>0</v>
      </c>
      <c r="C43" s="106">
        <v>0</v>
      </c>
    </row>
    <row r="44" spans="1:3" s="62" customFormat="1" ht="11.25">
      <c r="A44" s="65" t="s">
        <v>461</v>
      </c>
      <c r="B44" s="106">
        <v>93281</v>
      </c>
      <c r="C44" s="106">
        <v>33390</v>
      </c>
    </row>
    <row r="45" spans="2:4" s="62" customFormat="1" ht="11.25">
      <c r="B45" s="375">
        <f>(Pasywa!$D18+Pasywa!$D27)-B42</f>
        <v>0</v>
      </c>
      <c r="C45" s="369">
        <f>(Pasywa!$E18+Pasywa!$E27)-C42</f>
        <v>0</v>
      </c>
      <c r="D45" s="72"/>
    </row>
    <row r="46" s="62" customFormat="1" ht="11.25" hidden="1">
      <c r="A46" s="73" t="s">
        <v>212</v>
      </c>
    </row>
    <row r="47" s="3" customFormat="1" ht="11.25" hidden="1"/>
    <row r="48" spans="1:5" s="47" customFormat="1" ht="63" customHeight="1" hidden="1">
      <c r="A48" s="159" t="s">
        <v>330</v>
      </c>
      <c r="B48" s="150" t="s">
        <v>295</v>
      </c>
      <c r="C48" s="150" t="s">
        <v>296</v>
      </c>
      <c r="D48" s="150" t="s">
        <v>297</v>
      </c>
      <c r="E48" s="150" t="s">
        <v>378</v>
      </c>
    </row>
    <row r="49" spans="1:5" s="3" customFormat="1" ht="11.25" hidden="1">
      <c r="A49" s="121" t="str">
        <f>CONCATENATE("Stan na"," ",'Dane podstawowe'!$B$8)</f>
        <v>Stan na 44562</v>
      </c>
      <c r="B49" s="109">
        <f>B64</f>
        <v>0</v>
      </c>
      <c r="C49" s="109">
        <f>C64</f>
        <v>0</v>
      </c>
      <c r="D49" s="109">
        <f>D64</f>
        <v>0</v>
      </c>
      <c r="E49" s="109">
        <f>SUM(B49:D49)</f>
        <v>0</v>
      </c>
    </row>
    <row r="50" spans="1:5" s="3" customFormat="1" ht="11.25" hidden="1">
      <c r="A50" s="55" t="s">
        <v>298</v>
      </c>
      <c r="B50" s="110"/>
      <c r="C50" s="110"/>
      <c r="D50" s="110"/>
      <c r="E50" s="110">
        <f aca="true" t="shared" si="0" ref="E50:E58">SUM(B50:D50)</f>
        <v>0</v>
      </c>
    </row>
    <row r="51" spans="1:5" s="3" customFormat="1" ht="11.25" hidden="1">
      <c r="A51" s="55" t="s">
        <v>318</v>
      </c>
      <c r="B51" s="110"/>
      <c r="C51" s="110"/>
      <c r="D51" s="110">
        <v>0</v>
      </c>
      <c r="E51" s="110">
        <f t="shared" si="0"/>
        <v>0</v>
      </c>
    </row>
    <row r="52" spans="1:5" s="3" customFormat="1" ht="11.25" hidden="1">
      <c r="A52" s="55" t="s">
        <v>319</v>
      </c>
      <c r="B52" s="110"/>
      <c r="C52" s="110"/>
      <c r="D52" s="110"/>
      <c r="E52" s="110">
        <f t="shared" si="0"/>
        <v>0</v>
      </c>
    </row>
    <row r="53" spans="1:5" s="3" customFormat="1" ht="11.25" hidden="1">
      <c r="A53" s="55" t="s">
        <v>299</v>
      </c>
      <c r="B53" s="110"/>
      <c r="C53" s="110"/>
      <c r="D53" s="110"/>
      <c r="E53" s="110">
        <f t="shared" si="0"/>
        <v>0</v>
      </c>
    </row>
    <row r="54" spans="1:5" s="3" customFormat="1" ht="11.25" hidden="1">
      <c r="A54" s="55" t="s">
        <v>300</v>
      </c>
      <c r="B54" s="110"/>
      <c r="C54" s="110"/>
      <c r="D54" s="110"/>
      <c r="E54" s="110">
        <f t="shared" si="0"/>
        <v>0</v>
      </c>
    </row>
    <row r="55" spans="1:5" s="3" customFormat="1" ht="11.25" hidden="1">
      <c r="A55" s="121" t="str">
        <f>CONCATENATE("Stan na"," ",'Dane podstawowe'!$B$9,", w tym:")</f>
        <v>Stan na 44926, w tym:</v>
      </c>
      <c r="B55" s="109">
        <f>B49+B50-B51-B52+B53+B54</f>
        <v>0</v>
      </c>
      <c r="C55" s="109">
        <f>C49+C50-C51-C52+C53+C54</f>
        <v>0</v>
      </c>
      <c r="D55" s="109">
        <f>D49+D50-D51-D52+D53+D54</f>
        <v>0</v>
      </c>
      <c r="E55" s="109">
        <f t="shared" si="0"/>
        <v>0</v>
      </c>
    </row>
    <row r="56" spans="1:5" s="3" customFormat="1" ht="11.25" hidden="1">
      <c r="A56" s="65" t="s">
        <v>460</v>
      </c>
      <c r="B56" s="110"/>
      <c r="C56" s="110"/>
      <c r="D56" s="110"/>
      <c r="E56" s="110">
        <f t="shared" si="0"/>
        <v>0</v>
      </c>
    </row>
    <row r="57" spans="1:5" s="3" customFormat="1" ht="11.25" hidden="1">
      <c r="A57" s="65" t="s">
        <v>461</v>
      </c>
      <c r="B57" s="110"/>
      <c r="C57" s="110"/>
      <c r="D57" s="110"/>
      <c r="E57" s="110">
        <f t="shared" si="0"/>
        <v>0</v>
      </c>
    </row>
    <row r="58" spans="1:5" s="3" customFormat="1" ht="11.25" hidden="1">
      <c r="A58" s="121" t="str">
        <f>CONCATENATE("Stan na"," ",'Dane podstawowe'!$B$13)</f>
        <v>Stan na 44197</v>
      </c>
      <c r="B58" s="109"/>
      <c r="C58" s="109"/>
      <c r="D58" s="109">
        <v>0</v>
      </c>
      <c r="E58" s="109">
        <f t="shared" si="0"/>
        <v>0</v>
      </c>
    </row>
    <row r="59" spans="1:5" s="3" customFormat="1" ht="11.25" hidden="1">
      <c r="A59" s="55" t="s">
        <v>298</v>
      </c>
      <c r="B59" s="110"/>
      <c r="C59" s="110"/>
      <c r="D59" s="110"/>
      <c r="E59" s="110">
        <f>SUM(B59:D59)</f>
        <v>0</v>
      </c>
    </row>
    <row r="60" spans="1:5" s="3" customFormat="1" ht="11.25" hidden="1">
      <c r="A60" s="55" t="s">
        <v>318</v>
      </c>
      <c r="B60" s="110"/>
      <c r="C60" s="110"/>
      <c r="D60" s="110"/>
      <c r="E60" s="110">
        <f>SUM(B60:D60)</f>
        <v>0</v>
      </c>
    </row>
    <row r="61" spans="1:5" s="3" customFormat="1" ht="11.25" hidden="1">
      <c r="A61" s="55" t="s">
        <v>319</v>
      </c>
      <c r="B61" s="110"/>
      <c r="C61" s="110"/>
      <c r="D61" s="110"/>
      <c r="E61" s="110">
        <f>SUM(B61:D61)</f>
        <v>0</v>
      </c>
    </row>
    <row r="62" spans="1:5" s="3" customFormat="1" ht="11.25" hidden="1">
      <c r="A62" s="55" t="s">
        <v>299</v>
      </c>
      <c r="B62" s="110"/>
      <c r="C62" s="110"/>
      <c r="D62" s="110"/>
      <c r="E62" s="110">
        <f>SUM(B62:D62)</f>
        <v>0</v>
      </c>
    </row>
    <row r="63" spans="1:5" s="3" customFormat="1" ht="11.25" hidden="1">
      <c r="A63" s="55" t="s">
        <v>300</v>
      </c>
      <c r="B63" s="110"/>
      <c r="C63" s="110"/>
      <c r="D63" s="110"/>
      <c r="E63" s="110">
        <f>SUM(B63:D63)</f>
        <v>0</v>
      </c>
    </row>
    <row r="64" spans="1:5" s="3" customFormat="1" ht="11.25" hidden="1">
      <c r="A64" s="121" t="str">
        <f>CONCATENATE("Stan na"," ",'Dane podstawowe'!$B$14,", w tym:")</f>
        <v>Stan na 44561, w tym:</v>
      </c>
      <c r="B64" s="109">
        <f>B58+B59-B60-B61+B62+B63</f>
        <v>0</v>
      </c>
      <c r="C64" s="109">
        <f>C58+C59-C60-C61+C62+C63</f>
        <v>0</v>
      </c>
      <c r="D64" s="109">
        <f>D58+D59-D60-D61+D62+D63</f>
        <v>0</v>
      </c>
      <c r="E64" s="109">
        <f>E58+E59-E60-E61+E62+E63</f>
        <v>0</v>
      </c>
    </row>
    <row r="65" spans="1:5" s="3" customFormat="1" ht="11.25" hidden="1">
      <c r="A65" s="65" t="s">
        <v>460</v>
      </c>
      <c r="B65" s="132"/>
      <c r="C65" s="132"/>
      <c r="D65" s="132"/>
      <c r="E65" s="110">
        <f>SUM(B65:D65)</f>
        <v>0</v>
      </c>
    </row>
    <row r="66" spans="1:5" s="3" customFormat="1" ht="11.25" hidden="1">
      <c r="A66" s="65" t="s">
        <v>461</v>
      </c>
      <c r="B66" s="132"/>
      <c r="C66" s="132"/>
      <c r="D66" s="132"/>
      <c r="E66" s="110">
        <f>SUM(B66:D66)</f>
        <v>0</v>
      </c>
    </row>
    <row r="67" spans="4:5" s="3" customFormat="1" ht="11.25" hidden="1">
      <c r="D67" s="378" t="e">
        <f>#REF!</f>
        <v>#REF!</v>
      </c>
      <c r="E67" s="375">
        <f>(Pasywa!H15+Pasywa!D27)-'NOTA 24,25 - Rezerwy'!E55</f>
        <v>93281</v>
      </c>
    </row>
    <row r="68" spans="4:5" s="3" customFormat="1" ht="11.25" hidden="1">
      <c r="D68" s="378" t="e">
        <f>#REF!</f>
        <v>#REF!</v>
      </c>
      <c r="E68" s="369" t="e">
        <f>(Pasywa!#REF!+Pasywa!#REF!)-E64</f>
        <v>#REF!</v>
      </c>
    </row>
  </sheetData>
  <sheetProtection/>
  <printOptions/>
  <pageMargins left="0.75" right="0.75" top="1" bottom="1" header="0.5" footer="0.5"/>
  <pageSetup horizontalDpi="600" verticalDpi="600" orientation="portrait" paperSize="9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116"/>
  <sheetViews>
    <sheetView showGridLines="0" view="pageBreakPreview" zoomScale="90" zoomScaleSheetLayoutView="90" zoomScalePageLayoutView="0" workbookViewId="0" topLeftCell="A1">
      <selection activeCell="C31" sqref="C31"/>
    </sheetView>
  </sheetViews>
  <sheetFormatPr defaultColWidth="9.140625" defaultRowHeight="12.75"/>
  <cols>
    <col min="1" max="1" width="47.00390625" style="0" bestFit="1" customWidth="1"/>
    <col min="2" max="2" width="11.421875" style="0" customWidth="1"/>
    <col min="3" max="3" width="14.7109375" style="0" customWidth="1"/>
    <col min="4" max="8" width="12.421875" style="0" customWidth="1"/>
  </cols>
  <sheetData>
    <row r="1" ht="12.75">
      <c r="A1" s="75"/>
    </row>
    <row r="2" ht="12.75">
      <c r="A2" s="466" t="s">
        <v>857</v>
      </c>
    </row>
    <row r="3" ht="12.75">
      <c r="A3" s="148"/>
    </row>
    <row r="5" spans="1:5" ht="22.5">
      <c r="A5" s="587" t="s">
        <v>769</v>
      </c>
      <c r="B5" s="150" t="s">
        <v>770</v>
      </c>
      <c r="C5" s="150" t="s">
        <v>771</v>
      </c>
      <c r="D5" s="586">
        <v>44926</v>
      </c>
      <c r="E5" s="586">
        <v>44561</v>
      </c>
    </row>
    <row r="6" spans="1:5" ht="12.75" customHeight="1">
      <c r="A6" s="498" t="s">
        <v>772</v>
      </c>
      <c r="B6" s="635" t="s">
        <v>773</v>
      </c>
      <c r="C6" s="635" t="s">
        <v>774</v>
      </c>
      <c r="D6" s="683">
        <v>0.987</v>
      </c>
      <c r="E6" s="636">
        <v>0.9803</v>
      </c>
    </row>
    <row r="7" spans="1:5" ht="12.75" customHeight="1">
      <c r="A7" s="498" t="s">
        <v>775</v>
      </c>
      <c r="B7" s="635" t="s">
        <v>880</v>
      </c>
      <c r="C7" s="635" t="s">
        <v>774</v>
      </c>
      <c r="D7" s="683">
        <v>0.013</v>
      </c>
      <c r="E7" s="636">
        <v>0.0197</v>
      </c>
    </row>
    <row r="8" spans="1:5" ht="12.75">
      <c r="A8" s="637" t="s">
        <v>776</v>
      </c>
      <c r="B8" s="638"/>
      <c r="C8" s="638"/>
      <c r="D8" s="639">
        <f>SUM(D6:D7)</f>
        <v>1</v>
      </c>
      <c r="E8" s="639">
        <f>SUM(E6:E7)</f>
        <v>1</v>
      </c>
    </row>
    <row r="11" spans="1:6" ht="12.75">
      <c r="A11" s="748" t="s">
        <v>777</v>
      </c>
      <c r="B11" s="722" t="s">
        <v>778</v>
      </c>
      <c r="C11" s="749" t="s">
        <v>779</v>
      </c>
      <c r="D11" s="749" t="s">
        <v>780</v>
      </c>
      <c r="E11" s="749" t="s">
        <v>781</v>
      </c>
      <c r="F11" s="749" t="s">
        <v>339</v>
      </c>
    </row>
    <row r="12" spans="1:6" ht="12.75">
      <c r="A12" s="748"/>
      <c r="B12" s="722"/>
      <c r="C12" s="750"/>
      <c r="D12" s="750" t="s">
        <v>782</v>
      </c>
      <c r="E12" s="750" t="s">
        <v>783</v>
      </c>
      <c r="F12" s="750" t="s">
        <v>784</v>
      </c>
    </row>
    <row r="13" spans="1:6" ht="12.75">
      <c r="A13" s="640">
        <v>44926</v>
      </c>
      <c r="B13" s="385">
        <f>SUM(B14:B18)</f>
        <v>4239025</v>
      </c>
      <c r="C13" s="385">
        <f>SUM(C14:C18)</f>
        <v>428936</v>
      </c>
      <c r="D13" s="385">
        <f>SUM(D14:D18)</f>
        <v>97816</v>
      </c>
      <c r="E13" s="385">
        <f>SUM(E14:E18)</f>
        <v>0</v>
      </c>
      <c r="F13" s="385">
        <f>SUM(B13:E13)</f>
        <v>4765777</v>
      </c>
    </row>
    <row r="14" spans="1:6" ht="12.75">
      <c r="A14" s="641" t="s">
        <v>785</v>
      </c>
      <c r="B14" s="385">
        <v>0</v>
      </c>
      <c r="C14" s="385">
        <v>0</v>
      </c>
      <c r="D14" s="385">
        <v>0</v>
      </c>
      <c r="E14" s="385">
        <v>0</v>
      </c>
      <c r="F14" s="385">
        <f aca="true" t="shared" si="0" ref="F14:F24">SUM(B14:E14)</f>
        <v>0</v>
      </c>
    </row>
    <row r="15" spans="1:6" ht="12.75">
      <c r="A15" s="641" t="s">
        <v>786</v>
      </c>
      <c r="B15" s="385">
        <v>864068</v>
      </c>
      <c r="C15" s="385">
        <v>0</v>
      </c>
      <c r="D15" s="385">
        <v>0</v>
      </c>
      <c r="E15" s="385">
        <v>0</v>
      </c>
      <c r="F15" s="385">
        <f t="shared" si="0"/>
        <v>864068</v>
      </c>
    </row>
    <row r="16" spans="1:6" ht="12.75">
      <c r="A16" s="15" t="s">
        <v>787</v>
      </c>
      <c r="B16" s="385">
        <v>500255</v>
      </c>
      <c r="C16" s="385">
        <v>0</v>
      </c>
      <c r="D16" s="385">
        <v>0</v>
      </c>
      <c r="E16" s="385">
        <v>0</v>
      </c>
      <c r="F16" s="385">
        <f t="shared" si="0"/>
        <v>500255</v>
      </c>
    </row>
    <row r="17" spans="1:6" ht="12.75">
      <c r="A17" s="15" t="s">
        <v>788</v>
      </c>
      <c r="B17" s="385">
        <v>416848</v>
      </c>
      <c r="C17" s="385">
        <v>428936</v>
      </c>
      <c r="D17" s="385">
        <v>97816</v>
      </c>
      <c r="E17" s="385">
        <v>0</v>
      </c>
      <c r="F17" s="385">
        <f t="shared" si="0"/>
        <v>943600</v>
      </c>
    </row>
    <row r="18" spans="1:6" ht="12.75" customHeight="1">
      <c r="A18" s="15" t="s">
        <v>199</v>
      </c>
      <c r="B18" s="385">
        <v>2457854</v>
      </c>
      <c r="C18" s="385">
        <v>0</v>
      </c>
      <c r="D18" s="385">
        <v>0</v>
      </c>
      <c r="E18" s="385">
        <v>0</v>
      </c>
      <c r="F18" s="385">
        <f t="shared" si="0"/>
        <v>2457854</v>
      </c>
    </row>
    <row r="19" spans="1:6" ht="12.75">
      <c r="A19" s="640">
        <v>44561</v>
      </c>
      <c r="B19" s="385">
        <f>SUM(B20:B24)</f>
        <v>2679959</v>
      </c>
      <c r="C19" s="385">
        <f>SUM(C20:C24)</f>
        <v>278848</v>
      </c>
      <c r="D19" s="385">
        <f>SUM(D20:D24)</f>
        <v>377252</v>
      </c>
      <c r="E19" s="385">
        <f>SUM(E20:E24)</f>
        <v>0</v>
      </c>
      <c r="F19" s="385">
        <f t="shared" si="0"/>
        <v>3336059</v>
      </c>
    </row>
    <row r="20" spans="1:6" ht="12.75">
      <c r="A20" s="641" t="s">
        <v>785</v>
      </c>
      <c r="B20" s="385">
        <v>57186</v>
      </c>
      <c r="C20" s="385">
        <v>0</v>
      </c>
      <c r="D20" s="385">
        <v>0</v>
      </c>
      <c r="E20" s="385">
        <v>0</v>
      </c>
      <c r="F20" s="385">
        <f t="shared" si="0"/>
        <v>57186</v>
      </c>
    </row>
    <row r="21" spans="1:6" ht="12.75">
      <c r="A21" s="641" t="s">
        <v>786</v>
      </c>
      <c r="B21" s="385">
        <v>40373</v>
      </c>
      <c r="C21" s="385">
        <v>0</v>
      </c>
      <c r="D21" s="385">
        <v>0</v>
      </c>
      <c r="E21" s="385">
        <v>0</v>
      </c>
      <c r="F21" s="385">
        <f t="shared" si="0"/>
        <v>40373</v>
      </c>
    </row>
    <row r="22" spans="1:6" ht="12.75">
      <c r="A22" s="15" t="s">
        <v>787</v>
      </c>
      <c r="B22" s="385">
        <f>439660+5545+5545</f>
        <v>450750</v>
      </c>
      <c r="C22" s="385">
        <v>0</v>
      </c>
      <c r="D22" s="385">
        <v>0</v>
      </c>
      <c r="E22" s="385">
        <v>0</v>
      </c>
      <c r="F22" s="385">
        <f t="shared" si="0"/>
        <v>450750</v>
      </c>
    </row>
    <row r="23" spans="1:6" ht="12.75">
      <c r="A23" s="15" t="s">
        <v>788</v>
      </c>
      <c r="B23" s="385">
        <v>281517</v>
      </c>
      <c r="C23" s="385">
        <v>278848</v>
      </c>
      <c r="D23" s="385">
        <v>377252</v>
      </c>
      <c r="E23" s="385">
        <v>0</v>
      </c>
      <c r="F23" s="385">
        <f t="shared" si="0"/>
        <v>937617</v>
      </c>
    </row>
    <row r="24" spans="1:6" ht="12.75">
      <c r="A24" s="15" t="s">
        <v>199</v>
      </c>
      <c r="B24" s="385">
        <v>1850133</v>
      </c>
      <c r="C24" s="385">
        <v>0</v>
      </c>
      <c r="D24" s="385">
        <v>0</v>
      </c>
      <c r="E24" s="385">
        <v>0</v>
      </c>
      <c r="F24" s="385">
        <f t="shared" si="0"/>
        <v>1850133</v>
      </c>
    </row>
    <row r="46" ht="12.75" customHeight="1"/>
    <row r="58" ht="12.75" customHeight="1"/>
    <row r="73" spans="1:5" s="62" customFormat="1" ht="16.5" customHeight="1">
      <c r="A73"/>
      <c r="B73"/>
      <c r="C73"/>
      <c r="D73"/>
      <c r="E73"/>
    </row>
    <row r="74" spans="1:8" s="72" customFormat="1" ht="11.25" customHeight="1">
      <c r="A74"/>
      <c r="B74"/>
      <c r="C74"/>
      <c r="D74"/>
      <c r="E74"/>
      <c r="F74" s="367"/>
      <c r="G74"/>
      <c r="H74"/>
    </row>
    <row r="75" spans="1:8" s="72" customFormat="1" ht="27.75" customHeight="1">
      <c r="A75"/>
      <c r="B75"/>
      <c r="C75"/>
      <c r="D75"/>
      <c r="E75"/>
      <c r="F75" s="562"/>
      <c r="G75" s="562"/>
      <c r="H75" s="562"/>
    </row>
    <row r="76" spans="1:8" s="62" customFormat="1" ht="12.75" customHeight="1">
      <c r="A76"/>
      <c r="B76"/>
      <c r="C76"/>
      <c r="D76"/>
      <c r="E76"/>
      <c r="F76"/>
      <c r="G76" s="367"/>
      <c r="H76" s="568"/>
    </row>
    <row r="77" spans="1:8" s="119" customFormat="1" ht="12.75" customHeight="1">
      <c r="A77"/>
      <c r="B77"/>
      <c r="C77"/>
      <c r="D77"/>
      <c r="E77"/>
      <c r="F77"/>
      <c r="G77" s="562"/>
      <c r="H77" s="562"/>
    </row>
    <row r="78" spans="1:8" s="62" customFormat="1" ht="12.75">
      <c r="A78"/>
      <c r="B78"/>
      <c r="C78"/>
      <c r="D78"/>
      <c r="E78"/>
      <c r="F78"/>
      <c r="G78"/>
      <c r="H78"/>
    </row>
    <row r="79" spans="1:8" s="62" customFormat="1" ht="12.75">
      <c r="A79"/>
      <c r="B79"/>
      <c r="C79"/>
      <c r="D79"/>
      <c r="E79"/>
      <c r="F79"/>
      <c r="G79"/>
      <c r="H79"/>
    </row>
    <row r="80" spans="1:8" s="62" customFormat="1" ht="12.75">
      <c r="A80"/>
      <c r="B80"/>
      <c r="C80"/>
      <c r="D80"/>
      <c r="E80"/>
      <c r="F80"/>
      <c r="G80"/>
      <c r="H80"/>
    </row>
    <row r="81" spans="1:8" s="119" customFormat="1" ht="12.75" customHeight="1">
      <c r="A81"/>
      <c r="B81"/>
      <c r="C81"/>
      <c r="D81"/>
      <c r="E81"/>
      <c r="F81"/>
      <c r="G81"/>
      <c r="H81"/>
    </row>
    <row r="82" spans="1:8" s="62" customFormat="1" ht="12.75">
      <c r="A82"/>
      <c r="B82"/>
      <c r="C82"/>
      <c r="D82"/>
      <c r="E82"/>
      <c r="F82"/>
      <c r="G82"/>
      <c r="H82"/>
    </row>
    <row r="83" spans="1:8" s="62" customFormat="1" ht="12.75">
      <c r="A83"/>
      <c r="B83"/>
      <c r="C83"/>
      <c r="D83"/>
      <c r="E83"/>
      <c r="F83"/>
      <c r="G83"/>
      <c r="H83"/>
    </row>
    <row r="84" spans="1:8" s="62" customFormat="1" ht="12.75">
      <c r="A84"/>
      <c r="B84"/>
      <c r="C84"/>
      <c r="D84"/>
      <c r="E84"/>
      <c r="F84"/>
      <c r="G84"/>
      <c r="H84"/>
    </row>
    <row r="85" spans="1:8" s="119" customFormat="1" ht="12.75" customHeight="1">
      <c r="A85"/>
      <c r="B85"/>
      <c r="C85"/>
      <c r="D85"/>
      <c r="E85"/>
      <c r="F85"/>
      <c r="G85"/>
      <c r="H85"/>
    </row>
    <row r="86" spans="1:8" s="62" customFormat="1" ht="12.75">
      <c r="A86"/>
      <c r="B86"/>
      <c r="C86"/>
      <c r="D86"/>
      <c r="E86"/>
      <c r="F86" s="562"/>
      <c r="G86"/>
      <c r="H86"/>
    </row>
    <row r="87" spans="1:8" s="62" customFormat="1" ht="12.75">
      <c r="A87"/>
      <c r="B87"/>
      <c r="C87"/>
      <c r="D87"/>
      <c r="E87"/>
      <c r="F87" s="367"/>
      <c r="G87"/>
      <c r="H87"/>
    </row>
    <row r="88" spans="1:8" s="62" customFormat="1" ht="12.75">
      <c r="A88"/>
      <c r="B88"/>
      <c r="C88"/>
      <c r="D88"/>
      <c r="E88"/>
      <c r="F88" s="563"/>
      <c r="G88" s="562"/>
      <c r="H88" s="562"/>
    </row>
    <row r="89" spans="1:8" s="62" customFormat="1" ht="12.75" customHeight="1">
      <c r="A89"/>
      <c r="B89"/>
      <c r="C89"/>
      <c r="D89"/>
      <c r="E89"/>
      <c r="F89" s="564"/>
      <c r="G89" s="367"/>
      <c r="H89" s="568"/>
    </row>
    <row r="90" spans="1:8" s="499" customFormat="1" ht="12.75" customHeight="1">
      <c r="A90"/>
      <c r="B90"/>
      <c r="C90"/>
      <c r="D90"/>
      <c r="E90"/>
      <c r="F90" s="564"/>
      <c r="G90" s="563"/>
      <c r="H90" s="563"/>
    </row>
    <row r="91" spans="1:8" s="62" customFormat="1" ht="12.75">
      <c r="A91"/>
      <c r="B91"/>
      <c r="C91"/>
      <c r="D91"/>
      <c r="E91"/>
      <c r="F91" s="565"/>
      <c r="G91" s="564"/>
      <c r="H91" s="564"/>
    </row>
    <row r="92" spans="1:8" s="62" customFormat="1" ht="12.75">
      <c r="A92"/>
      <c r="B92"/>
      <c r="C92"/>
      <c r="D92"/>
      <c r="E92"/>
      <c r="F92" s="563"/>
      <c r="G92" s="564"/>
      <c r="H92" s="564"/>
    </row>
    <row r="93" spans="1:8" s="62" customFormat="1" ht="12.75">
      <c r="A93"/>
      <c r="B93"/>
      <c r="C93"/>
      <c r="D93"/>
      <c r="E93"/>
      <c r="F93" s="564"/>
      <c r="G93" s="565"/>
      <c r="H93" s="565"/>
    </row>
    <row r="94" spans="1:8" s="499" customFormat="1" ht="12.75" customHeight="1">
      <c r="A94"/>
      <c r="B94"/>
      <c r="C94"/>
      <c r="D94"/>
      <c r="E94"/>
      <c r="F94" s="564"/>
      <c r="G94" s="563"/>
      <c r="H94" s="563"/>
    </row>
    <row r="95" spans="1:8" s="62" customFormat="1" ht="12.75">
      <c r="A95"/>
      <c r="B95"/>
      <c r="C95"/>
      <c r="D95"/>
      <c r="E95"/>
      <c r="F95" s="565"/>
      <c r="G95" s="564"/>
      <c r="H95" s="564"/>
    </row>
    <row r="96" spans="1:8" s="62" customFormat="1" ht="12.75">
      <c r="A96"/>
      <c r="B96"/>
      <c r="C96"/>
      <c r="D96"/>
      <c r="E96"/>
      <c r="F96" s="563"/>
      <c r="G96" s="564"/>
      <c r="H96" s="564"/>
    </row>
    <row r="97" spans="1:8" s="62" customFormat="1" ht="12.75">
      <c r="A97"/>
      <c r="B97"/>
      <c r="C97"/>
      <c r="D97"/>
      <c r="E97"/>
      <c r="F97" s="564"/>
      <c r="G97" s="565"/>
      <c r="H97" s="565"/>
    </row>
    <row r="98" spans="1:8" s="62" customFormat="1" ht="12.75" customHeight="1">
      <c r="A98"/>
      <c r="B98"/>
      <c r="C98"/>
      <c r="D98"/>
      <c r="E98"/>
      <c r="F98" s="564"/>
      <c r="G98" s="563"/>
      <c r="H98" s="563"/>
    </row>
    <row r="99" spans="1:8" s="62" customFormat="1" ht="12.75">
      <c r="A99"/>
      <c r="B99"/>
      <c r="C99"/>
      <c r="D99"/>
      <c r="E99"/>
      <c r="F99" s="565"/>
      <c r="G99" s="564"/>
      <c r="H99" s="564"/>
    </row>
    <row r="100" spans="1:8" s="62" customFormat="1" ht="12.75">
      <c r="A100"/>
      <c r="B100"/>
      <c r="C100"/>
      <c r="D100"/>
      <c r="E100"/>
      <c r="F100"/>
      <c r="G100" s="564"/>
      <c r="H100" s="564"/>
    </row>
    <row r="101" spans="1:8" s="62" customFormat="1" ht="12.75">
      <c r="A101"/>
      <c r="B101"/>
      <c r="C101"/>
      <c r="D101"/>
      <c r="E101"/>
      <c r="F101"/>
      <c r="G101" s="565"/>
      <c r="H101" s="565"/>
    </row>
    <row r="104" ht="12.75">
      <c r="F104" s="566"/>
    </row>
    <row r="105" ht="12.75">
      <c r="F105" s="566"/>
    </row>
    <row r="106" spans="1:6" s="46" customFormat="1" ht="12.75">
      <c r="A106"/>
      <c r="B106"/>
      <c r="C106"/>
      <c r="D106"/>
      <c r="E106"/>
      <c r="F106" s="567"/>
    </row>
    <row r="107" ht="12.75">
      <c r="F107" s="567"/>
    </row>
    <row r="108" ht="12.75">
      <c r="F108" s="566"/>
    </row>
    <row r="109" ht="12.75">
      <c r="F109" s="566"/>
    </row>
    <row r="110" ht="12.75">
      <c r="F110" s="566"/>
    </row>
    <row r="111" ht="12.75">
      <c r="F111" s="566"/>
    </row>
    <row r="112" ht="12.75">
      <c r="F112" s="566"/>
    </row>
    <row r="113" ht="12.75">
      <c r="F113" s="566"/>
    </row>
    <row r="114" ht="12.75">
      <c r="F114" s="566"/>
    </row>
    <row r="115" ht="12.75">
      <c r="F115" s="566"/>
    </row>
    <row r="116" ht="12.75">
      <c r="F116" s="566"/>
    </row>
  </sheetData>
  <sheetProtection/>
  <mergeCells count="6">
    <mergeCell ref="A11:A12"/>
    <mergeCell ref="B11:B12"/>
    <mergeCell ref="C11:C12"/>
    <mergeCell ref="D11:D12"/>
    <mergeCell ref="E11:E12"/>
    <mergeCell ref="F11:F1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AD47"/>
  <sheetViews>
    <sheetView showGridLines="0" tabSelected="1" zoomScaleSheetLayoutView="90" zoomScalePageLayoutView="0" workbookViewId="0" topLeftCell="C1">
      <selection activeCell="N7" sqref="N7:U19"/>
    </sheetView>
  </sheetViews>
  <sheetFormatPr defaultColWidth="9.28125" defaultRowHeight="12.75"/>
  <cols>
    <col min="1" max="2" width="3.7109375" style="36" customWidth="1"/>
    <col min="3" max="3" width="55.7109375" style="36" customWidth="1"/>
    <col min="4" max="4" width="8.7109375" style="36" customWidth="1"/>
    <col min="5" max="5" width="17.421875" style="36" customWidth="1"/>
    <col min="6" max="6" width="17.7109375" style="36" customWidth="1"/>
    <col min="7" max="7" width="9.28125" style="36" customWidth="1"/>
    <col min="8" max="12" width="0" style="36" hidden="1" customWidth="1"/>
    <col min="13" max="13" width="9.28125" style="36" customWidth="1"/>
    <col min="14" max="14" width="12.7109375" style="36" customWidth="1"/>
    <col min="15" max="15" width="18.57421875" style="36" customWidth="1"/>
    <col min="16" max="16" width="9.28125" style="36" customWidth="1"/>
    <col min="17" max="17" width="11.8515625" style="36" bestFit="1" customWidth="1"/>
    <col min="18" max="20" width="9.28125" style="36" customWidth="1"/>
    <col min="21" max="21" width="16.140625" style="36" customWidth="1"/>
    <col min="22" max="16384" width="9.28125" style="36" customWidth="1"/>
  </cols>
  <sheetData>
    <row r="1" s="42" customFormat="1" ht="17.25" customHeight="1">
      <c r="C1" s="239"/>
    </row>
    <row r="2" spans="2:30" s="235" customFormat="1" ht="22.5">
      <c r="B2" s="239"/>
      <c r="C2" s="230"/>
      <c r="D2" s="230" t="s">
        <v>365</v>
      </c>
      <c r="E2" s="230" t="str">
        <f>CONCATENATE("za okres ",'Dane podstawowe'!$B$7)</f>
        <v>za okres 01.01.2022 - 31.12.2022</v>
      </c>
      <c r="F2" s="230" t="str">
        <f>CONCATENATE("za okres ",'Dane podstawowe'!$B$12)</f>
        <v>za okres 01.01.2021 - 31.12.2021</v>
      </c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</row>
    <row r="3" spans="3:20" s="232" customFormat="1" ht="11.25">
      <c r="C3" s="220" t="s">
        <v>253</v>
      </c>
      <c r="D3" s="231" t="s">
        <v>470</v>
      </c>
      <c r="E3" s="404">
        <f>SUM(E4:E6)</f>
        <v>16212340</v>
      </c>
      <c r="F3" s="404">
        <f>SUM(F4:F6)</f>
        <v>13822345</v>
      </c>
      <c r="N3" s="233"/>
      <c r="O3" s="233"/>
      <c r="P3" s="613"/>
      <c r="Q3" s="613"/>
      <c r="R3" s="233"/>
      <c r="S3" s="233"/>
      <c r="T3" s="233"/>
    </row>
    <row r="4" spans="3:16" s="233" customFormat="1" ht="11.25" hidden="1">
      <c r="C4" s="221" t="s">
        <v>422</v>
      </c>
      <c r="D4" s="231"/>
      <c r="E4" s="405"/>
      <c r="F4" s="405">
        <v>0</v>
      </c>
      <c r="P4" s="613"/>
    </row>
    <row r="5" spans="3:16" s="233" customFormat="1" ht="11.25" hidden="1">
      <c r="C5" s="221" t="s">
        <v>421</v>
      </c>
      <c r="D5" s="231"/>
      <c r="E5" s="405">
        <f>19589323-3376983</f>
        <v>16212340</v>
      </c>
      <c r="F5" s="405">
        <v>13822345</v>
      </c>
      <c r="P5" s="613"/>
    </row>
    <row r="6" spans="3:20" s="233" customFormat="1" ht="11.25" hidden="1">
      <c r="C6" s="221" t="s">
        <v>423</v>
      </c>
      <c r="D6" s="231"/>
      <c r="E6" s="405">
        <v>0</v>
      </c>
      <c r="F6" s="405">
        <v>0</v>
      </c>
      <c r="P6" s="613"/>
      <c r="Q6" s="644"/>
      <c r="S6" s="646"/>
      <c r="T6" s="646"/>
    </row>
    <row r="7" spans="3:20" s="233" customFormat="1" ht="11.25">
      <c r="C7" s="220" t="s">
        <v>520</v>
      </c>
      <c r="D7" s="231" t="s">
        <v>535</v>
      </c>
      <c r="E7" s="406">
        <f>SUM(E8:E15)</f>
        <v>18383258</v>
      </c>
      <c r="F7" s="406">
        <f>SUM(F8:F15)</f>
        <v>15969605</v>
      </c>
      <c r="P7" s="613"/>
      <c r="Q7" s="674"/>
      <c r="R7" s="232"/>
      <c r="S7" s="646"/>
      <c r="T7" s="646"/>
    </row>
    <row r="8" spans="3:19" s="233" customFormat="1" ht="11.25">
      <c r="C8" s="221" t="s">
        <v>342</v>
      </c>
      <c r="D8" s="231"/>
      <c r="E8" s="407">
        <v>782842</v>
      </c>
      <c r="F8" s="407">
        <v>856101</v>
      </c>
      <c r="P8" s="613"/>
      <c r="Q8" s="644"/>
      <c r="S8" s="646"/>
    </row>
    <row r="9" spans="3:20" s="233" customFormat="1" ht="11.25">
      <c r="C9" s="221" t="s">
        <v>521</v>
      </c>
      <c r="D9" s="231"/>
      <c r="E9" s="405">
        <v>140481</v>
      </c>
      <c r="F9" s="405">
        <v>121644</v>
      </c>
      <c r="P9" s="613"/>
      <c r="Q9" s="644"/>
      <c r="S9" s="646"/>
      <c r="T9" s="646"/>
    </row>
    <row r="10" spans="3:6" s="233" customFormat="1" ht="11.25">
      <c r="C10" s="221" t="s">
        <v>522</v>
      </c>
      <c r="D10" s="231"/>
      <c r="E10" s="405">
        <f>12650362-2095160</f>
        <v>10555202</v>
      </c>
      <c r="F10" s="405">
        <f>9946097-1678410</f>
        <v>8267687</v>
      </c>
    </row>
    <row r="11" spans="3:20" s="233" customFormat="1" ht="11.25">
      <c r="C11" s="221" t="s">
        <v>345</v>
      </c>
      <c r="D11" s="231"/>
      <c r="E11" s="405">
        <v>56773</v>
      </c>
      <c r="F11" s="405">
        <v>74868</v>
      </c>
      <c r="P11" s="613"/>
      <c r="Q11" s="645"/>
      <c r="S11" s="646"/>
      <c r="T11" s="646"/>
    </row>
    <row r="12" spans="3:16" s="233" customFormat="1" ht="11.25">
      <c r="C12" s="221" t="s">
        <v>277</v>
      </c>
      <c r="D12" s="231"/>
      <c r="E12" s="405">
        <f>6571991-1088457</f>
        <v>5483534</v>
      </c>
      <c r="F12" s="405">
        <f>6123001-1033260</f>
        <v>5089741</v>
      </c>
      <c r="P12" s="613"/>
    </row>
    <row r="13" spans="3:21" s="233" customFormat="1" ht="11.25">
      <c r="C13" s="221" t="s">
        <v>523</v>
      </c>
      <c r="D13" s="231"/>
      <c r="E13" s="405">
        <f>1167524-193366</f>
        <v>974158</v>
      </c>
      <c r="F13" s="405">
        <f>1013735-171068</f>
        <v>842667</v>
      </c>
      <c r="P13" s="613"/>
      <c r="Q13" s="674"/>
      <c r="S13" s="644"/>
      <c r="T13" s="646"/>
      <c r="U13" s="674"/>
    </row>
    <row r="14" spans="3:21" s="232" customFormat="1" ht="11.25">
      <c r="C14" s="221" t="s">
        <v>524</v>
      </c>
      <c r="D14" s="231"/>
      <c r="E14" s="405">
        <v>390268</v>
      </c>
      <c r="F14" s="405">
        <v>716897</v>
      </c>
      <c r="N14" s="233"/>
      <c r="O14" s="233"/>
      <c r="P14" s="613"/>
      <c r="Q14" s="674"/>
      <c r="S14" s="644"/>
      <c r="T14" s="646"/>
      <c r="U14" s="674"/>
    </row>
    <row r="15" spans="3:21" s="233" customFormat="1" ht="11.25" hidden="1">
      <c r="C15" s="221" t="s">
        <v>347</v>
      </c>
      <c r="D15" s="231"/>
      <c r="E15" s="405">
        <v>0</v>
      </c>
      <c r="F15" s="405">
        <v>0</v>
      </c>
      <c r="P15" s="613"/>
      <c r="Q15" s="674"/>
      <c r="S15" s="644"/>
      <c r="T15" s="646"/>
      <c r="U15" s="674"/>
    </row>
    <row r="16" spans="3:21" s="233" customFormat="1" ht="11.25">
      <c r="C16" s="220" t="s">
        <v>202</v>
      </c>
      <c r="D16" s="231" t="s">
        <v>471</v>
      </c>
      <c r="E16" s="406">
        <v>772594</v>
      </c>
      <c r="F16" s="406">
        <v>68177</v>
      </c>
      <c r="P16" s="613"/>
      <c r="Q16" s="674"/>
      <c r="S16" s="644"/>
      <c r="T16" s="646"/>
      <c r="U16" s="674"/>
    </row>
    <row r="17" spans="3:8" s="233" customFormat="1" ht="11.25">
      <c r="C17" s="220" t="s">
        <v>203</v>
      </c>
      <c r="D17" s="231" t="s">
        <v>471</v>
      </c>
      <c r="E17" s="406">
        <v>73862</v>
      </c>
      <c r="F17" s="406">
        <v>61559</v>
      </c>
      <c r="H17" s="233" t="s">
        <v>506</v>
      </c>
    </row>
    <row r="18" spans="3:21" s="233" customFormat="1" ht="11.25" customHeight="1">
      <c r="C18" s="222" t="s">
        <v>204</v>
      </c>
      <c r="D18" s="231"/>
      <c r="E18" s="408">
        <f>E3-E7+E16-E17</f>
        <v>-1472186</v>
      </c>
      <c r="F18" s="408">
        <f>F3-F7+F16-F17</f>
        <v>-2140642</v>
      </c>
      <c r="P18" s="613"/>
      <c r="Q18" s="674"/>
      <c r="S18" s="644"/>
      <c r="T18" s="646"/>
      <c r="U18" s="674"/>
    </row>
    <row r="19" spans="3:6" s="233" customFormat="1" ht="11.25">
      <c r="C19" s="223" t="s">
        <v>329</v>
      </c>
      <c r="D19" s="231" t="s">
        <v>472</v>
      </c>
      <c r="E19" s="407">
        <v>3676730</v>
      </c>
      <c r="F19" s="407">
        <v>849021</v>
      </c>
    </row>
    <row r="20" spans="3:8" s="233" customFormat="1" ht="11.25">
      <c r="C20" s="223" t="s">
        <v>63</v>
      </c>
      <c r="D20" s="231" t="s">
        <v>472</v>
      </c>
      <c r="E20" s="405">
        <v>185088</v>
      </c>
      <c r="F20" s="405">
        <v>93685</v>
      </c>
      <c r="H20" s="233" t="s">
        <v>505</v>
      </c>
    </row>
    <row r="21" spans="3:6" s="233" customFormat="1" ht="22.5" hidden="1">
      <c r="C21" s="223" t="s">
        <v>655</v>
      </c>
      <c r="D21" s="231"/>
      <c r="E21" s="405">
        <v>0</v>
      </c>
      <c r="F21" s="405">
        <v>0</v>
      </c>
    </row>
    <row r="22" spans="3:6" s="233" customFormat="1" ht="11.25">
      <c r="C22" s="222" t="s">
        <v>484</v>
      </c>
      <c r="D22" s="231"/>
      <c r="E22" s="408">
        <f>E18+E19-E20</f>
        <v>2019456</v>
      </c>
      <c r="F22" s="408">
        <f>F18+F19-F20</f>
        <v>-1385306</v>
      </c>
    </row>
    <row r="23" spans="3:7" s="233" customFormat="1" ht="11.25">
      <c r="C23" s="223" t="s">
        <v>485</v>
      </c>
      <c r="D23" s="231" t="s">
        <v>473</v>
      </c>
      <c r="E23" s="407">
        <v>-111227</v>
      </c>
      <c r="F23" s="407">
        <v>-25438</v>
      </c>
      <c r="G23" s="439"/>
    </row>
    <row r="24" spans="3:8" s="233" customFormat="1" ht="11.25" hidden="1">
      <c r="C24" s="222" t="s">
        <v>205</v>
      </c>
      <c r="D24" s="231" t="s">
        <v>474</v>
      </c>
      <c r="E24" s="408">
        <f>E22-E23</f>
        <v>2130683</v>
      </c>
      <c r="F24" s="408">
        <f>F22-F23</f>
        <v>-1359868</v>
      </c>
      <c r="G24" s="439"/>
      <c r="H24" s="233" t="s">
        <v>507</v>
      </c>
    </row>
    <row r="25" spans="3:6" s="233" customFormat="1" ht="11.25">
      <c r="C25" s="224" t="s">
        <v>206</v>
      </c>
      <c r="D25" s="231" t="s">
        <v>474</v>
      </c>
      <c r="E25" s="405">
        <v>0</v>
      </c>
      <c r="F25" s="405">
        <v>0</v>
      </c>
    </row>
    <row r="26" spans="3:6" s="233" customFormat="1" ht="11.25">
      <c r="C26" s="222" t="s">
        <v>249</v>
      </c>
      <c r="D26" s="231"/>
      <c r="E26" s="408">
        <f>E24+E25</f>
        <v>2130683</v>
      </c>
      <c r="F26" s="408">
        <f>F24+F25</f>
        <v>-1359868</v>
      </c>
    </row>
    <row r="27" spans="3:6" s="233" customFormat="1" ht="11.25">
      <c r="C27" s="225"/>
      <c r="D27" s="231"/>
      <c r="E27" s="227"/>
      <c r="F27" s="227"/>
    </row>
    <row r="28" spans="3:6" s="233" customFormat="1" ht="11.25">
      <c r="C28" s="226" t="s">
        <v>424</v>
      </c>
      <c r="D28" s="231"/>
      <c r="E28" s="227"/>
      <c r="F28" s="227"/>
    </row>
    <row r="29" spans="3:6" s="234" customFormat="1" ht="11.25" hidden="1">
      <c r="C29" s="67" t="s">
        <v>254</v>
      </c>
      <c r="D29" s="231"/>
      <c r="E29" s="227">
        <f>'NOTA 7 - Zysk na 1 akcję'!B7/'NOTA 7 - Zysk na 1 akcję'!B16</f>
        <v>0.8571503856946023</v>
      </c>
      <c r="F29" s="227">
        <f>'NOTA 7 - Zysk na 1 akcję'!C7/'NOTA 7 - Zysk na 1 akcję'!C16</f>
        <v>-0.5470599712363348</v>
      </c>
    </row>
    <row r="30" spans="3:6" s="234" customFormat="1" ht="11.25" hidden="1">
      <c r="C30" s="67" t="s">
        <v>255</v>
      </c>
      <c r="D30" s="231"/>
      <c r="E30" s="227">
        <f>'NOTA 7 - Zysk na 1 akcję'!B12/'NOTA 7 - Zysk na 1 akcję'!B21</f>
        <v>0.8186728993939152</v>
      </c>
      <c r="F30" s="227">
        <f>'NOTA 7 - Zysk na 1 akcję'!C12/'NOTA 7 - Zysk na 1 akcję'!C21</f>
        <v>-0.5344993888035092</v>
      </c>
    </row>
    <row r="31" spans="3:6" s="234" customFormat="1" ht="22.5" hidden="1">
      <c r="C31" s="225" t="s">
        <v>256</v>
      </c>
      <c r="D31" s="231"/>
      <c r="E31" s="229"/>
      <c r="F31" s="229"/>
    </row>
    <row r="32" spans="3:6" s="234" customFormat="1" ht="11.25">
      <c r="C32" s="221" t="s">
        <v>254</v>
      </c>
      <c r="D32" s="221"/>
      <c r="E32" s="228">
        <f>E26/'NOTA 7 - Zysk na 1 akcję'!B16</f>
        <v>0.8571503856946023</v>
      </c>
      <c r="F32" s="228">
        <f>F26/'NOTA 7 - Zysk na 1 akcję'!C16</f>
        <v>-0.5470599712363348</v>
      </c>
    </row>
    <row r="33" spans="3:6" s="234" customFormat="1" ht="11.25">
      <c r="C33" s="221" t="s">
        <v>255</v>
      </c>
      <c r="D33" s="221"/>
      <c r="E33" s="228">
        <f>E26/'NOTA 7 - Zysk na 1 akcję'!B16</f>
        <v>0.8571503856946023</v>
      </c>
      <c r="F33" s="228">
        <f>F26/'NOTA 7 - Zysk na 1 akcję'!C16</f>
        <v>-0.5470599712363348</v>
      </c>
    </row>
    <row r="34" spans="3:6" s="233" customFormat="1" ht="11.25">
      <c r="C34" s="225" t="s">
        <v>257</v>
      </c>
      <c r="D34" s="221"/>
      <c r="E34" s="229">
        <f>'NOTA 7 - Zysk na 1 akcję'!B6/'NOTA 7 - Zysk na 1 akcję'!B16</f>
        <v>0</v>
      </c>
      <c r="F34" s="229">
        <f>'NOTA 7 - Zysk na 1 akcję'!C6/'NOTA 7 - Zysk na 1 akcję'!C16</f>
        <v>0</v>
      </c>
    </row>
    <row r="35" spans="3:6" s="233" customFormat="1" ht="12.75">
      <c r="C35" s="25"/>
      <c r="D35" s="30"/>
      <c r="E35" s="29"/>
      <c r="F35" s="26"/>
    </row>
    <row r="36" spans="3:6" s="233" customFormat="1" ht="12.75">
      <c r="C36" s="25"/>
      <c r="D36" s="30"/>
      <c r="E36" s="29"/>
      <c r="F36" s="26"/>
    </row>
    <row r="37" spans="3:6" s="233" customFormat="1" ht="12.75">
      <c r="C37" s="25"/>
      <c r="D37" s="30"/>
      <c r="E37" s="31"/>
      <c r="F37" s="26"/>
    </row>
    <row r="38" spans="3:6" s="42" customFormat="1" ht="12.75">
      <c r="C38" s="25"/>
      <c r="D38" s="30"/>
      <c r="E38" s="29"/>
      <c r="F38" s="26"/>
    </row>
    <row r="39" spans="3:6" s="42" customFormat="1" ht="12.75">
      <c r="C39" s="25"/>
      <c r="D39" s="30"/>
      <c r="E39" s="26"/>
      <c r="F39" s="26"/>
    </row>
    <row r="40" spans="3:6" s="42" customFormat="1" ht="14.25">
      <c r="C40" s="33"/>
      <c r="D40" s="32"/>
      <c r="E40" s="26"/>
      <c r="F40" s="26"/>
    </row>
    <row r="41" spans="3:6" s="42" customFormat="1" ht="12.75">
      <c r="C41" s="25"/>
      <c r="D41" s="30"/>
      <c r="E41" s="26"/>
      <c r="F41" s="26"/>
    </row>
    <row r="42" spans="3:16" s="42" customFormat="1" ht="14.25">
      <c r="C42" s="33"/>
      <c r="D42" s="32"/>
      <c r="E42" s="26"/>
      <c r="F42" s="26"/>
      <c r="N42" s="233"/>
      <c r="O42" s="233"/>
      <c r="P42" s="613"/>
    </row>
    <row r="43" spans="3:6" s="42" customFormat="1" ht="12.75">
      <c r="C43" s="35"/>
      <c r="D43" s="213"/>
      <c r="E43" s="26"/>
      <c r="F43" s="26"/>
    </row>
    <row r="44" spans="3:6" s="42" customFormat="1" ht="12.75">
      <c r="C44" s="35"/>
      <c r="D44" s="213"/>
      <c r="E44" s="26"/>
      <c r="F44" s="26"/>
    </row>
    <row r="45" spans="3:6" s="42" customFormat="1" ht="12.75">
      <c r="C45" s="36"/>
      <c r="D45" s="36"/>
      <c r="E45" s="36"/>
      <c r="F45" s="36"/>
    </row>
    <row r="46" spans="3:6" s="42" customFormat="1" ht="12.75">
      <c r="C46" s="36"/>
      <c r="D46" s="36"/>
      <c r="E46" s="36"/>
      <c r="F46" s="36"/>
    </row>
    <row r="47" spans="3:6" s="42" customFormat="1" ht="12.75">
      <c r="C47" s="36"/>
      <c r="D47" s="36"/>
      <c r="E47" s="36"/>
      <c r="F47" s="36"/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5"/>
  <sheetViews>
    <sheetView showGridLines="0" view="pageBreakPreview" zoomScale="90" zoomScaleSheetLayoutView="90" zoomScalePageLayoutView="0" workbookViewId="0" topLeftCell="A1">
      <selection activeCell="B15" sqref="B15"/>
    </sheetView>
  </sheetViews>
  <sheetFormatPr defaultColWidth="9.28125" defaultRowHeight="12.75"/>
  <cols>
    <col min="1" max="1" width="54.7109375" style="52" customWidth="1"/>
    <col min="2" max="3" width="15.421875" style="52" customWidth="1"/>
    <col min="4" max="16384" width="9.28125" style="52" customWidth="1"/>
  </cols>
  <sheetData>
    <row r="1" ht="12.75">
      <c r="A1" s="75"/>
    </row>
    <row r="2" s="3" customFormat="1" ht="12.75">
      <c r="A2" s="467" t="s">
        <v>553</v>
      </c>
    </row>
    <row r="3" spans="1:6" s="3" customFormat="1" ht="11.25">
      <c r="A3" s="751"/>
      <c r="B3" s="751"/>
      <c r="C3" s="751"/>
      <c r="F3" s="119"/>
    </row>
    <row r="4" spans="1:3" s="3" customFormat="1" ht="11.25">
      <c r="A4" s="133" t="s">
        <v>330</v>
      </c>
      <c r="B4" s="586">
        <f>'Dane podstawowe'!$B$9</f>
        <v>44926</v>
      </c>
      <c r="C4" s="586">
        <f>'Dane podstawowe'!$B$14</f>
        <v>44561</v>
      </c>
    </row>
    <row r="5" spans="1:3" s="3" customFormat="1" ht="11.25">
      <c r="A5" s="55" t="s">
        <v>324</v>
      </c>
      <c r="B5" s="195">
        <f>Pasywa!D12+Pasywa!D20</f>
        <v>1329759</v>
      </c>
      <c r="C5" s="195">
        <f>Pasywa!E12+Pasywa!E20</f>
        <v>543501</v>
      </c>
    </row>
    <row r="6" spans="1:3" s="3" customFormat="1" ht="11.25">
      <c r="A6" s="55" t="s">
        <v>326</v>
      </c>
      <c r="B6" s="195">
        <f>Pasywa!D22+Pasywa!D24</f>
        <v>4953364</v>
      </c>
      <c r="C6" s="195">
        <f>Pasywa!E22+Pasywa!E24</f>
        <v>5317753</v>
      </c>
    </row>
    <row r="7" spans="1:3" s="3" customFormat="1" ht="11.25">
      <c r="A7" s="55" t="s">
        <v>171</v>
      </c>
      <c r="B7" s="195">
        <f>Aktywa!D23</f>
        <v>178411</v>
      </c>
      <c r="C7" s="195">
        <f>Aktywa!E23</f>
        <v>167921</v>
      </c>
    </row>
    <row r="8" spans="1:3" s="3" customFormat="1" ht="11.25">
      <c r="A8" s="54" t="s">
        <v>172</v>
      </c>
      <c r="B8" s="123">
        <f>B5+B6-B7</f>
        <v>6104712</v>
      </c>
      <c r="C8" s="123">
        <f>C5+C6-C7</f>
        <v>5693333</v>
      </c>
    </row>
    <row r="9" spans="1:3" s="3" customFormat="1" ht="11.25">
      <c r="A9" s="752"/>
      <c r="B9" s="753"/>
      <c r="C9" s="753"/>
    </row>
    <row r="10" spans="1:3" s="3" customFormat="1" ht="11.25">
      <c r="A10" s="55" t="s">
        <v>325</v>
      </c>
      <c r="B10" s="113"/>
      <c r="C10" s="113"/>
    </row>
    <row r="11" spans="1:3" s="3" customFormat="1" ht="11.25">
      <c r="A11" s="55" t="s">
        <v>173</v>
      </c>
      <c r="B11" s="113">
        <f>Pasywa!D3</f>
        <v>15997008</v>
      </c>
      <c r="C11" s="113">
        <f>Pasywa!E3</f>
        <v>13851439</v>
      </c>
    </row>
    <row r="12" spans="1:3" s="3" customFormat="1" ht="11.25">
      <c r="A12" s="55" t="s">
        <v>174</v>
      </c>
      <c r="B12" s="113"/>
      <c r="C12" s="113"/>
    </row>
    <row r="13" spans="1:3" s="3" customFormat="1" ht="11.25">
      <c r="A13" s="54" t="s">
        <v>175</v>
      </c>
      <c r="B13" s="123">
        <f>B12+B11+B10</f>
        <v>15997008</v>
      </c>
      <c r="C13" s="123">
        <f>C12+C11+C10</f>
        <v>13851439</v>
      </c>
    </row>
    <row r="14" spans="1:3" s="3" customFormat="1" ht="11.25">
      <c r="A14" s="78" t="s">
        <v>176</v>
      </c>
      <c r="B14" s="123">
        <f>B13+B8</f>
        <v>22101720</v>
      </c>
      <c r="C14" s="123">
        <f>C13+C8</f>
        <v>19544772</v>
      </c>
    </row>
    <row r="15" spans="1:3" s="3" customFormat="1" ht="11.25">
      <c r="A15" s="55" t="s">
        <v>177</v>
      </c>
      <c r="B15" s="554">
        <f>B8/B14</f>
        <v>0.2762098153446881</v>
      </c>
      <c r="C15" s="554">
        <f>C8/C14</f>
        <v>0.291296977012574</v>
      </c>
    </row>
    <row r="16" s="3" customFormat="1" ht="11.25"/>
    <row r="17" s="3" customFormat="1" ht="11.25"/>
  </sheetData>
  <sheetProtection/>
  <mergeCells count="2">
    <mergeCell ref="A3:C3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SheetLayoutView="90" zoomScalePageLayoutView="0" workbookViewId="0" topLeftCell="A4">
      <selection activeCell="A4" sqref="A4:I19"/>
    </sheetView>
  </sheetViews>
  <sheetFormatPr defaultColWidth="9.28125" defaultRowHeight="12.75"/>
  <cols>
    <col min="1" max="1" width="53.00390625" style="52" customWidth="1"/>
    <col min="2" max="9" width="15.421875" style="101" customWidth="1"/>
    <col min="10" max="10" width="15.421875" style="101" hidden="1" customWidth="1"/>
    <col min="11" max="11" width="14.28125" style="52" hidden="1" customWidth="1"/>
    <col min="12" max="16384" width="9.28125" style="52" customWidth="1"/>
  </cols>
  <sheetData>
    <row r="1" spans="1:13" ht="15">
      <c r="A1" s="75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6"/>
      <c r="M1" s="616"/>
    </row>
    <row r="2" spans="1:13" s="62" customFormat="1" ht="25.5">
      <c r="A2" s="618" t="s">
        <v>734</v>
      </c>
      <c r="B2" s="619"/>
      <c r="C2" s="619"/>
      <c r="D2" s="619" t="s">
        <v>913</v>
      </c>
      <c r="E2" s="619"/>
      <c r="F2" s="619"/>
      <c r="G2" s="619"/>
      <c r="H2" s="619"/>
      <c r="I2" s="619"/>
      <c r="J2" s="619"/>
      <c r="K2" s="620"/>
      <c r="L2" s="620"/>
      <c r="M2" s="620"/>
    </row>
    <row r="3" spans="1:13" s="62" customFormat="1" ht="11.25">
      <c r="A3" s="620"/>
      <c r="B3" s="619"/>
      <c r="C3" s="619"/>
      <c r="D3" s="619"/>
      <c r="E3" s="619"/>
      <c r="F3" s="619"/>
      <c r="G3" s="619"/>
      <c r="H3" s="619"/>
      <c r="I3" s="619"/>
      <c r="J3" s="619"/>
      <c r="K3" s="620"/>
      <c r="L3" s="620"/>
      <c r="M3" s="620"/>
    </row>
    <row r="4" spans="1:11" s="62" customFormat="1" ht="42.75" customHeight="1">
      <c r="A4" s="615" t="s">
        <v>1</v>
      </c>
      <c r="B4" s="754" t="s">
        <v>2</v>
      </c>
      <c r="C4" s="755"/>
      <c r="D4" s="754" t="s">
        <v>3</v>
      </c>
      <c r="E4" s="755"/>
      <c r="F4" s="754" t="s">
        <v>664</v>
      </c>
      <c r="G4" s="755"/>
      <c r="H4" s="754" t="s">
        <v>714</v>
      </c>
      <c r="I4" s="755"/>
      <c r="J4" s="616"/>
      <c r="K4" s="616"/>
    </row>
    <row r="5" spans="1:11" s="62" customFormat="1" ht="11.25" customHeight="1">
      <c r="A5" s="647" t="s">
        <v>98</v>
      </c>
      <c r="B5" s="648">
        <v>44926</v>
      </c>
      <c r="C5" s="648">
        <v>44561</v>
      </c>
      <c r="D5" s="648">
        <v>44926</v>
      </c>
      <c r="E5" s="648">
        <v>44561</v>
      </c>
      <c r="F5" s="648">
        <v>44926</v>
      </c>
      <c r="G5" s="648">
        <v>44561</v>
      </c>
      <c r="H5" s="648">
        <v>44926</v>
      </c>
      <c r="I5" s="648">
        <v>44561</v>
      </c>
      <c r="J5" s="195"/>
      <c r="K5" s="469"/>
    </row>
    <row r="6" spans="1:10" s="62" customFormat="1" ht="11.25">
      <c r="A6" s="622" t="s">
        <v>665</v>
      </c>
      <c r="B6" s="649"/>
      <c r="C6" s="649"/>
      <c r="D6" s="649"/>
      <c r="E6" s="649"/>
      <c r="F6" s="650"/>
      <c r="G6" s="650"/>
      <c r="H6" s="650"/>
      <c r="I6" s="650"/>
      <c r="J6" s="443"/>
    </row>
    <row r="7" spans="1:10" s="62" customFormat="1" ht="11.25">
      <c r="A7" s="621" t="s">
        <v>165</v>
      </c>
      <c r="B7" s="651">
        <f>SUM(B8:B16)</f>
        <v>5500648</v>
      </c>
      <c r="C7" s="651">
        <f aca="true" t="shared" si="0" ref="C7:I7">SUM(C8:C16)</f>
        <v>4810130</v>
      </c>
      <c r="D7" s="651">
        <f t="shared" si="0"/>
        <v>2098326</v>
      </c>
      <c r="E7" s="651">
        <f t="shared" si="0"/>
        <v>2538374</v>
      </c>
      <c r="F7" s="651">
        <f t="shared" si="0"/>
        <v>931799</v>
      </c>
      <c r="G7" s="651">
        <f t="shared" si="0"/>
        <v>2022769</v>
      </c>
      <c r="H7" s="651">
        <f t="shared" si="0"/>
        <v>1242348</v>
      </c>
      <c r="I7" s="651">
        <f t="shared" si="0"/>
        <v>1192223</v>
      </c>
      <c r="J7" s="252"/>
    </row>
    <row r="8" spans="1:10" s="62" customFormat="1" ht="11.25">
      <c r="A8" s="622" t="s">
        <v>822</v>
      </c>
      <c r="B8" s="685">
        <v>2006258</v>
      </c>
      <c r="C8" s="627">
        <v>2041122</v>
      </c>
      <c r="D8" s="685">
        <v>610680</v>
      </c>
      <c r="E8" s="627">
        <v>565041</v>
      </c>
      <c r="F8" s="685">
        <v>108595</v>
      </c>
      <c r="G8" s="627">
        <v>505619</v>
      </c>
      <c r="H8" s="685">
        <v>315801</v>
      </c>
      <c r="I8" s="627">
        <v>127497</v>
      </c>
      <c r="J8" s="252"/>
    </row>
    <row r="9" spans="1:10" s="62" customFormat="1" ht="11.25">
      <c r="A9" s="622" t="s">
        <v>823</v>
      </c>
      <c r="B9" s="685">
        <v>219488</v>
      </c>
      <c r="C9" s="627">
        <v>577789</v>
      </c>
      <c r="D9" s="685">
        <v>648342</v>
      </c>
      <c r="E9" s="627">
        <v>1418113</v>
      </c>
      <c r="F9" s="685">
        <v>77741</v>
      </c>
      <c r="G9" s="627">
        <v>147886</v>
      </c>
      <c r="H9" s="685">
        <v>115224</v>
      </c>
      <c r="I9" s="627">
        <v>410468</v>
      </c>
      <c r="J9" s="252"/>
    </row>
    <row r="10" spans="1:10" s="62" customFormat="1" ht="11.25">
      <c r="A10" s="622" t="s">
        <v>715</v>
      </c>
      <c r="B10" s="685">
        <v>748672</v>
      </c>
      <c r="C10" s="627">
        <v>844059</v>
      </c>
      <c r="D10" s="685">
        <v>13819</v>
      </c>
      <c r="E10" s="627">
        <v>15397</v>
      </c>
      <c r="F10" s="685">
        <v>222122</v>
      </c>
      <c r="G10" s="627">
        <v>239834</v>
      </c>
      <c r="H10" s="685">
        <v>3690</v>
      </c>
      <c r="I10" s="627">
        <v>1230</v>
      </c>
      <c r="J10" s="252"/>
    </row>
    <row r="11" spans="1:10" s="62" customFormat="1" ht="11.25">
      <c r="A11" s="622" t="s">
        <v>824</v>
      </c>
      <c r="B11" s="685">
        <v>844006</v>
      </c>
      <c r="C11" s="627">
        <v>251242</v>
      </c>
      <c r="D11" s="685">
        <v>811535</v>
      </c>
      <c r="E11" s="627">
        <v>505485</v>
      </c>
      <c r="F11" s="685">
        <v>134928</v>
      </c>
      <c r="G11" s="627">
        <v>25813</v>
      </c>
      <c r="H11" s="685">
        <v>783505</v>
      </c>
      <c r="I11" s="627">
        <v>652782</v>
      </c>
      <c r="J11" s="252"/>
    </row>
    <row r="12" spans="1:10" s="62" customFormat="1" ht="11.25">
      <c r="A12" s="622" t="s">
        <v>666</v>
      </c>
      <c r="B12" s="685">
        <v>1667375</v>
      </c>
      <c r="C12" s="627">
        <v>995613</v>
      </c>
      <c r="D12" s="685">
        <v>9681</v>
      </c>
      <c r="E12" s="627">
        <v>16556</v>
      </c>
      <c r="F12" s="685">
        <v>0</v>
      </c>
      <c r="G12" s="627">
        <v>675333</v>
      </c>
      <c r="H12" s="685">
        <v>21091</v>
      </c>
      <c r="I12" s="627">
        <v>0</v>
      </c>
      <c r="J12" s="252"/>
    </row>
    <row r="13" spans="1:9" ht="12.75">
      <c r="A13" s="622" t="s">
        <v>667</v>
      </c>
      <c r="B13" s="685" t="s">
        <v>920</v>
      </c>
      <c r="C13" s="627">
        <v>95682</v>
      </c>
      <c r="D13" s="685" t="s">
        <v>920</v>
      </c>
      <c r="E13" s="627">
        <v>582</v>
      </c>
      <c r="F13" s="685" t="s">
        <v>920</v>
      </c>
      <c r="G13" s="627">
        <v>244416</v>
      </c>
      <c r="H13" s="685" t="s">
        <v>920</v>
      </c>
      <c r="I13" s="627">
        <v>0</v>
      </c>
    </row>
    <row r="14" spans="1:9" ht="12.75">
      <c r="A14" s="622" t="s">
        <v>576</v>
      </c>
      <c r="B14" s="685">
        <v>2400</v>
      </c>
      <c r="C14" s="627">
        <v>2600</v>
      </c>
      <c r="D14" s="685">
        <v>2400</v>
      </c>
      <c r="E14" s="627">
        <v>17200</v>
      </c>
      <c r="F14" s="688">
        <v>246</v>
      </c>
      <c r="G14" s="628">
        <v>10944</v>
      </c>
      <c r="H14" s="685">
        <v>738</v>
      </c>
      <c r="I14" s="627">
        <v>246</v>
      </c>
    </row>
    <row r="15" spans="1:9" ht="12.75">
      <c r="A15" s="622" t="s">
        <v>577</v>
      </c>
      <c r="B15" s="685" t="s">
        <v>920</v>
      </c>
      <c r="C15" s="652">
        <v>0</v>
      </c>
      <c r="D15" s="685" t="s">
        <v>920</v>
      </c>
      <c r="E15" s="652">
        <v>0</v>
      </c>
      <c r="F15" s="685" t="s">
        <v>920</v>
      </c>
      <c r="G15" s="652">
        <v>0</v>
      </c>
      <c r="H15" s="685" t="s">
        <v>920</v>
      </c>
      <c r="I15" s="653">
        <v>0</v>
      </c>
    </row>
    <row r="16" spans="1:9" ht="12.75">
      <c r="A16" s="654" t="s">
        <v>825</v>
      </c>
      <c r="B16" s="686">
        <v>12449</v>
      </c>
      <c r="C16" s="655">
        <v>2023</v>
      </c>
      <c r="D16" s="687">
        <v>1869</v>
      </c>
      <c r="E16" s="656">
        <v>0</v>
      </c>
      <c r="F16" s="687">
        <v>388167</v>
      </c>
      <c r="G16" s="656">
        <v>172924</v>
      </c>
      <c r="H16" s="687">
        <v>2299</v>
      </c>
      <c r="I16" s="656">
        <v>0</v>
      </c>
    </row>
    <row r="17" spans="1:9" ht="12.75">
      <c r="A17" s="692" t="s">
        <v>932</v>
      </c>
      <c r="B17" s="693">
        <v>0</v>
      </c>
      <c r="C17" s="693">
        <v>0</v>
      </c>
      <c r="D17" s="693">
        <v>607363.6</v>
      </c>
      <c r="E17" s="693">
        <v>191051</v>
      </c>
      <c r="F17" s="693">
        <v>0</v>
      </c>
      <c r="G17" s="693">
        <v>0</v>
      </c>
      <c r="H17" s="693">
        <v>86939</v>
      </c>
      <c r="I17" s="693">
        <v>53013</v>
      </c>
    </row>
    <row r="18" spans="1:9" ht="12.75">
      <c r="A18" s="695" t="s">
        <v>933</v>
      </c>
      <c r="B18" s="691">
        <v>0</v>
      </c>
      <c r="C18" s="691">
        <v>0</v>
      </c>
      <c r="D18" s="691">
        <v>291000</v>
      </c>
      <c r="E18" s="691">
        <v>61500</v>
      </c>
      <c r="F18" s="691">
        <v>0</v>
      </c>
      <c r="G18" s="691">
        <v>0</v>
      </c>
      <c r="H18" s="685">
        <v>31365</v>
      </c>
      <c r="I18" s="691">
        <v>25215</v>
      </c>
    </row>
    <row r="19" spans="1:9" ht="12.75">
      <c r="A19" s="690" t="s">
        <v>934</v>
      </c>
      <c r="B19" s="694">
        <v>0</v>
      </c>
      <c r="C19" s="694">
        <v>0</v>
      </c>
      <c r="D19" s="694">
        <v>316364</v>
      </c>
      <c r="E19" s="691">
        <v>129551</v>
      </c>
      <c r="F19" s="694">
        <v>0</v>
      </c>
      <c r="G19" s="694">
        <v>0</v>
      </c>
      <c r="H19" s="685">
        <v>55574</v>
      </c>
      <c r="I19" s="685">
        <v>27798</v>
      </c>
    </row>
    <row r="22" ht="12.75">
      <c r="A22" s="623"/>
    </row>
    <row r="23" ht="12.75">
      <c r="A23" s="623"/>
    </row>
    <row r="24" ht="12.75">
      <c r="A24" s="623"/>
    </row>
    <row r="25" ht="12.75">
      <c r="A25" s="623"/>
    </row>
    <row r="27" ht="12.75">
      <c r="A27" s="623"/>
    </row>
    <row r="29" ht="12.75">
      <c r="A29" s="623"/>
    </row>
  </sheetData>
  <sheetProtection/>
  <mergeCells count="4">
    <mergeCell ref="B4:C4"/>
    <mergeCell ref="D4:E4"/>
    <mergeCell ref="F4:G4"/>
    <mergeCell ref="H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80"/>
  <sheetViews>
    <sheetView showGridLines="0" view="pageBreakPreview" zoomScale="90" zoomScaleSheetLayoutView="90" zoomScalePageLayoutView="0" workbookViewId="0" topLeftCell="A4">
      <selection activeCell="K61" sqref="K61"/>
    </sheetView>
  </sheetViews>
  <sheetFormatPr defaultColWidth="9.140625" defaultRowHeight="12.75"/>
  <cols>
    <col min="1" max="1" width="37.7109375" style="0" customWidth="1"/>
    <col min="2" max="2" width="16.00390625" style="0" customWidth="1"/>
    <col min="3" max="4" width="15.28125" style="0" customWidth="1"/>
  </cols>
  <sheetData>
    <row r="1" spans="1:2" ht="12.75">
      <c r="A1" s="45"/>
      <c r="B1" s="45"/>
    </row>
    <row r="2" spans="1:4" s="471" customFormat="1" ht="12.75">
      <c r="A2" s="772" t="s">
        <v>735</v>
      </c>
      <c r="B2" s="773"/>
      <c r="C2" s="774"/>
      <c r="D2" s="774"/>
    </row>
    <row r="3" spans="1:4" s="1" customFormat="1" ht="12.75">
      <c r="A3" s="154"/>
      <c r="B3" s="154"/>
      <c r="C3"/>
      <c r="D3"/>
    </row>
    <row r="4" spans="1:4" s="1" customFormat="1" ht="12.75">
      <c r="A4" s="163" t="s">
        <v>335</v>
      </c>
      <c r="B4" s="163"/>
      <c r="C4"/>
      <c r="D4"/>
    </row>
    <row r="5" spans="1:4" s="1" customFormat="1" ht="22.5">
      <c r="A5" s="770"/>
      <c r="B5" s="771"/>
      <c r="C5" s="149" t="str">
        <f>'Dane podstawowe'!$B$7</f>
        <v>01.01.2022 - 31.12.2022</v>
      </c>
      <c r="D5" s="149" t="str">
        <f>'Dane podstawowe'!$B$12</f>
        <v>01.01.2021 - 31.12.2021</v>
      </c>
    </row>
    <row r="6" spans="1:4" s="1" customFormat="1" ht="11.25">
      <c r="A6" s="759" t="s">
        <v>102</v>
      </c>
      <c r="B6" s="760"/>
      <c r="C6" s="675">
        <f>591868+226857</f>
        <v>818725</v>
      </c>
      <c r="D6" s="192">
        <v>769581</v>
      </c>
    </row>
    <row r="7" spans="1:4" s="1" customFormat="1" ht="11.25">
      <c r="A7" s="759" t="s">
        <v>103</v>
      </c>
      <c r="B7" s="760"/>
      <c r="C7" s="192">
        <v>0</v>
      </c>
      <c r="D7" s="192">
        <v>0</v>
      </c>
    </row>
    <row r="8" spans="1:8" s="1" customFormat="1" ht="11.25">
      <c r="A8" s="759" t="s">
        <v>104</v>
      </c>
      <c r="B8" s="760"/>
      <c r="C8" s="192">
        <v>0</v>
      </c>
      <c r="D8" s="192">
        <v>0</v>
      </c>
      <c r="H8" s="388"/>
    </row>
    <row r="9" spans="1:4" s="1" customFormat="1" ht="11.25">
      <c r="A9" s="759" t="s">
        <v>105</v>
      </c>
      <c r="B9" s="760"/>
      <c r="C9" s="192">
        <v>0</v>
      </c>
      <c r="D9" s="192">
        <v>0</v>
      </c>
    </row>
    <row r="10" spans="1:4" s="1" customFormat="1" ht="11.25">
      <c r="A10" s="759" t="s">
        <v>106</v>
      </c>
      <c r="B10" s="760"/>
      <c r="C10" s="192">
        <v>0</v>
      </c>
      <c r="D10" s="192">
        <v>0</v>
      </c>
    </row>
    <row r="11" spans="1:4" s="1" customFormat="1" ht="11.25">
      <c r="A11" s="759" t="s">
        <v>72</v>
      </c>
      <c r="B11" s="760"/>
      <c r="C11" s="192">
        <v>0</v>
      </c>
      <c r="D11" s="192">
        <v>0</v>
      </c>
    </row>
    <row r="12" spans="1:4" s="1" customFormat="1" ht="11.25">
      <c r="A12" s="734" t="s">
        <v>467</v>
      </c>
      <c r="B12" s="736"/>
      <c r="C12" s="105">
        <f>SUM(C6:C11)</f>
        <v>818725</v>
      </c>
      <c r="D12" s="105">
        <f>SUM(D6:D11)</f>
        <v>769581</v>
      </c>
    </row>
    <row r="13" spans="1:4" s="1" customFormat="1" ht="11.25">
      <c r="A13" s="572"/>
      <c r="B13" s="572"/>
      <c r="C13" s="566"/>
      <c r="D13" s="566"/>
    </row>
    <row r="14" spans="1:4" s="1" customFormat="1" ht="11.25">
      <c r="A14" s="572"/>
      <c r="B14" s="572"/>
      <c r="C14" s="566"/>
      <c r="D14" s="566"/>
    </row>
    <row r="15" spans="1:4" s="1" customFormat="1" ht="12.75">
      <c r="A15" s="775" t="s">
        <v>566</v>
      </c>
      <c r="B15" s="776"/>
      <c r="C15"/>
      <c r="D15"/>
    </row>
    <row r="16" spans="1:4" s="1" customFormat="1" ht="22.5">
      <c r="A16" s="770"/>
      <c r="B16" s="771"/>
      <c r="C16" s="149" t="str">
        <f>'Dane podstawowe'!$B$7</f>
        <v>01.01.2022 - 31.12.2022</v>
      </c>
      <c r="D16" s="149" t="str">
        <f>'Dane podstawowe'!$B$12</f>
        <v>01.01.2021 - 31.12.2021</v>
      </c>
    </row>
    <row r="17" spans="1:4" s="1" customFormat="1" ht="11.25">
      <c r="A17" s="759" t="s">
        <v>102</v>
      </c>
      <c r="B17" s="760"/>
      <c r="C17" s="675">
        <v>43754</v>
      </c>
      <c r="D17" s="192">
        <v>41791</v>
      </c>
    </row>
    <row r="18" spans="1:4" s="1" customFormat="1" ht="11.25">
      <c r="A18" s="759" t="s">
        <v>103</v>
      </c>
      <c r="B18" s="760"/>
      <c r="C18" s="192">
        <v>0</v>
      </c>
      <c r="D18" s="192">
        <v>0</v>
      </c>
    </row>
    <row r="19" spans="1:4" s="1" customFormat="1" ht="11.25">
      <c r="A19" s="759" t="s">
        <v>104</v>
      </c>
      <c r="B19" s="760"/>
      <c r="C19" s="192">
        <v>0</v>
      </c>
      <c r="D19" s="192">
        <v>0</v>
      </c>
    </row>
    <row r="20" spans="1:4" s="1" customFormat="1" ht="11.25">
      <c r="A20" s="759" t="s">
        <v>105</v>
      </c>
      <c r="B20" s="760"/>
      <c r="C20" s="192">
        <v>0</v>
      </c>
      <c r="D20" s="192">
        <v>0</v>
      </c>
    </row>
    <row r="21" spans="1:4" s="1" customFormat="1" ht="11.25">
      <c r="A21" s="759" t="s">
        <v>106</v>
      </c>
      <c r="B21" s="760"/>
      <c r="C21" s="192">
        <v>0</v>
      </c>
      <c r="D21" s="192">
        <v>0</v>
      </c>
    </row>
    <row r="22" spans="1:4" s="1" customFormat="1" ht="11.25">
      <c r="A22" s="759" t="s">
        <v>72</v>
      </c>
      <c r="B22" s="760"/>
      <c r="C22" s="192">
        <v>0</v>
      </c>
      <c r="D22" s="192">
        <v>0</v>
      </c>
    </row>
    <row r="23" spans="1:4" s="1" customFormat="1" ht="11.25">
      <c r="A23" s="734" t="s">
        <v>467</v>
      </c>
      <c r="B23" s="736"/>
      <c r="C23" s="105">
        <f>SUM(C17:C22)</f>
        <v>43754</v>
      </c>
      <c r="D23" s="105">
        <f>SUM(D17:D22)</f>
        <v>41791</v>
      </c>
    </row>
    <row r="24" spans="1:4" s="1" customFormat="1" ht="11.25">
      <c r="A24" s="572"/>
      <c r="B24" s="572"/>
      <c r="C24" s="566"/>
      <c r="D24" s="566"/>
    </row>
    <row r="25" spans="1:4" s="1" customFormat="1" ht="12.75">
      <c r="A25" s="163"/>
      <c r="B25" s="163"/>
      <c r="C25"/>
      <c r="D25"/>
    </row>
    <row r="26" spans="1:4" s="1" customFormat="1" ht="12.75">
      <c r="A26" s="191" t="s">
        <v>430</v>
      </c>
      <c r="B26" s="191"/>
      <c r="C26"/>
      <c r="D26"/>
    </row>
    <row r="27" spans="1:4" s="1" customFormat="1" ht="22.5">
      <c r="A27" s="766"/>
      <c r="B27" s="767"/>
      <c r="C27" s="596" t="str">
        <f>C16</f>
        <v>01.01.2022 - 31.12.2022</v>
      </c>
      <c r="D27" s="596" t="str">
        <f>D16</f>
        <v>01.01.2021 - 31.12.2021</v>
      </c>
    </row>
    <row r="28" spans="1:4" s="1" customFormat="1" ht="9.75" customHeight="1">
      <c r="A28" s="764" t="s">
        <v>102</v>
      </c>
      <c r="B28" s="765"/>
      <c r="C28" s="676">
        <v>1187861</v>
      </c>
      <c r="D28" s="597">
        <v>1112391</v>
      </c>
    </row>
    <row r="29" spans="1:4" s="1" customFormat="1" ht="11.25">
      <c r="A29" s="764" t="s">
        <v>103</v>
      </c>
      <c r="B29" s="765"/>
      <c r="C29" s="597">
        <v>0</v>
      </c>
      <c r="D29" s="597">
        <v>0</v>
      </c>
    </row>
    <row r="30" spans="1:4" s="1" customFormat="1" ht="11.25">
      <c r="A30" s="764" t="s">
        <v>104</v>
      </c>
      <c r="B30" s="765"/>
      <c r="C30" s="597">
        <v>0</v>
      </c>
      <c r="D30" s="597">
        <v>0</v>
      </c>
    </row>
    <row r="31" spans="1:4" s="1" customFormat="1" ht="11.25">
      <c r="A31" s="764" t="s">
        <v>105</v>
      </c>
      <c r="B31" s="765"/>
      <c r="C31" s="597">
        <v>0</v>
      </c>
      <c r="D31" s="597">
        <v>0</v>
      </c>
    </row>
    <row r="32" spans="1:4" s="1" customFormat="1" ht="11.25">
      <c r="A32" s="764" t="s">
        <v>106</v>
      </c>
      <c r="B32" s="765"/>
      <c r="C32" s="597">
        <v>0</v>
      </c>
      <c r="D32" s="597">
        <v>0</v>
      </c>
    </row>
    <row r="33" spans="1:4" s="1" customFormat="1" ht="11.25">
      <c r="A33" s="768" t="s">
        <v>467</v>
      </c>
      <c r="B33" s="769"/>
      <c r="C33" s="595">
        <f>SUM(C28:C32)</f>
        <v>1187861</v>
      </c>
      <c r="D33" s="595">
        <f>SUM(D28:D32)</f>
        <v>1112391</v>
      </c>
    </row>
    <row r="34" spans="1:4" s="1" customFormat="1" ht="12.75">
      <c r="A34" s="147"/>
      <c r="B34" s="147"/>
      <c r="C34"/>
      <c r="D34"/>
    </row>
    <row r="35" spans="1:4" s="1" customFormat="1" ht="12.75">
      <c r="A35" s="74"/>
      <c r="B35" s="74"/>
      <c r="C35"/>
      <c r="D35"/>
    </row>
    <row r="36" spans="1:4" s="2" customFormat="1" ht="22.5" hidden="1">
      <c r="A36" s="150" t="s">
        <v>67</v>
      </c>
      <c r="B36" s="150" t="s">
        <v>71</v>
      </c>
      <c r="C36" s="150" t="str">
        <f>'Dane podstawowe'!$B$7</f>
        <v>01.01.2022 - 31.12.2022</v>
      </c>
      <c r="D36" s="149" t="str">
        <f>'Dane podstawowe'!$B$12</f>
        <v>01.01.2021 - 31.12.2021</v>
      </c>
    </row>
    <row r="37" spans="1:4" s="1" customFormat="1" ht="11.25" hidden="1">
      <c r="A37" s="761" t="s">
        <v>336</v>
      </c>
      <c r="B37" s="762"/>
      <c r="C37" s="762"/>
      <c r="D37" s="763"/>
    </row>
    <row r="38" spans="1:4" s="1" customFormat="1" ht="11.25" hidden="1">
      <c r="A38" s="68" t="s">
        <v>67</v>
      </c>
      <c r="B38" s="389"/>
      <c r="C38" s="192"/>
      <c r="D38" s="192"/>
    </row>
    <row r="39" spans="1:4" s="1" customFormat="1" ht="11.25" hidden="1">
      <c r="A39" s="68" t="s">
        <v>67</v>
      </c>
      <c r="B39" s="389"/>
      <c r="C39" s="192"/>
      <c r="D39" s="192"/>
    </row>
    <row r="40" spans="1:4" s="1" customFormat="1" ht="11.25" hidden="1">
      <c r="A40" s="68" t="s">
        <v>67</v>
      </c>
      <c r="B40" s="389"/>
      <c r="C40" s="192"/>
      <c r="D40" s="192"/>
    </row>
    <row r="41" spans="1:4" s="1" customFormat="1" ht="11.25" hidden="1">
      <c r="A41" s="68" t="s">
        <v>67</v>
      </c>
      <c r="B41" s="389"/>
      <c r="C41" s="192"/>
      <c r="D41" s="192"/>
    </row>
    <row r="42" spans="1:4" s="1" customFormat="1" ht="11.25" hidden="1">
      <c r="A42" s="92" t="s">
        <v>38</v>
      </c>
      <c r="B42" s="364"/>
      <c r="C42" s="366">
        <f>SUM(C38:C41)</f>
        <v>0</v>
      </c>
      <c r="D42" s="366">
        <f>SUM(D38:D41)</f>
        <v>0</v>
      </c>
    </row>
    <row r="43" spans="1:4" s="1" customFormat="1" ht="11.25" hidden="1">
      <c r="A43" s="756" t="s">
        <v>431</v>
      </c>
      <c r="B43" s="757"/>
      <c r="C43" s="757"/>
      <c r="D43" s="758"/>
    </row>
    <row r="44" spans="1:4" s="1" customFormat="1" ht="11.25" hidden="1">
      <c r="A44" s="68" t="s">
        <v>67</v>
      </c>
      <c r="B44" s="389"/>
      <c r="C44" s="192"/>
      <c r="D44" s="192"/>
    </row>
    <row r="45" spans="1:4" s="1" customFormat="1" ht="11.25" hidden="1">
      <c r="A45" s="68" t="s">
        <v>67</v>
      </c>
      <c r="B45" s="389"/>
      <c r="C45" s="192"/>
      <c r="D45" s="192"/>
    </row>
    <row r="46" spans="1:4" s="1" customFormat="1" ht="11.25" hidden="1">
      <c r="A46" s="68" t="s">
        <v>67</v>
      </c>
      <c r="B46" s="389"/>
      <c r="C46" s="192"/>
      <c r="D46" s="192"/>
    </row>
    <row r="47" spans="1:4" s="1" customFormat="1" ht="11.25" hidden="1">
      <c r="A47" s="68" t="s">
        <v>67</v>
      </c>
      <c r="B47" s="389"/>
      <c r="C47" s="192"/>
      <c r="D47" s="192"/>
    </row>
    <row r="48" spans="1:4" s="1" customFormat="1" ht="11.25" hidden="1">
      <c r="A48" s="92" t="s">
        <v>140</v>
      </c>
      <c r="B48" s="364"/>
      <c r="C48" s="366">
        <f>SUM(C44:C47)</f>
        <v>0</v>
      </c>
      <c r="D48" s="366">
        <f>SUM(D44:D47)</f>
        <v>0</v>
      </c>
    </row>
    <row r="49" spans="1:4" s="1" customFormat="1" ht="11.25" hidden="1">
      <c r="A49" s="756" t="s">
        <v>337</v>
      </c>
      <c r="B49" s="757"/>
      <c r="C49" s="757"/>
      <c r="D49" s="758"/>
    </row>
    <row r="50" spans="1:4" s="1" customFormat="1" ht="11.25" hidden="1">
      <c r="A50" s="68" t="s">
        <v>67</v>
      </c>
      <c r="B50" s="389"/>
      <c r="C50" s="192"/>
      <c r="D50" s="192"/>
    </row>
    <row r="51" spans="1:4" s="1" customFormat="1" ht="11.25" hidden="1">
      <c r="A51" s="68" t="s">
        <v>67</v>
      </c>
      <c r="B51" s="389"/>
      <c r="C51" s="192"/>
      <c r="D51" s="192"/>
    </row>
    <row r="52" spans="1:4" s="1" customFormat="1" ht="11.25" hidden="1">
      <c r="A52" s="68" t="s">
        <v>67</v>
      </c>
      <c r="B52" s="389"/>
      <c r="C52" s="192"/>
      <c r="D52" s="192"/>
    </row>
    <row r="53" spans="1:4" s="1" customFormat="1" ht="11.25" hidden="1">
      <c r="A53" s="68" t="s">
        <v>67</v>
      </c>
      <c r="B53" s="389"/>
      <c r="C53" s="192"/>
      <c r="D53" s="192"/>
    </row>
    <row r="54" spans="1:4" s="1" customFormat="1" ht="11.25" hidden="1">
      <c r="A54" s="92" t="s">
        <v>140</v>
      </c>
      <c r="B54" s="364"/>
      <c r="C54" s="366">
        <f>SUM(C50:C53)</f>
        <v>0</v>
      </c>
      <c r="D54" s="366">
        <f>SUM(D50:D53)</f>
        <v>0</v>
      </c>
    </row>
    <row r="55" spans="1:3" s="1" customFormat="1" ht="11.25">
      <c r="A55" s="5"/>
      <c r="B55" s="5"/>
      <c r="C55" s="4"/>
    </row>
    <row r="56" spans="1:3" s="1" customFormat="1" ht="11.25">
      <c r="A56" s="5"/>
      <c r="B56" s="5"/>
      <c r="C56" s="4"/>
    </row>
    <row r="57" spans="1:3" s="1" customFormat="1" ht="11.25">
      <c r="A57" s="5"/>
      <c r="B57" s="5"/>
      <c r="C57" s="4"/>
    </row>
    <row r="58" spans="1:3" s="1" customFormat="1" ht="11.25">
      <c r="A58" s="5"/>
      <c r="B58" s="5"/>
      <c r="C58" s="4"/>
    </row>
    <row r="59" spans="1:3" s="1" customFormat="1" ht="11.25">
      <c r="A59" s="5"/>
      <c r="B59" s="5"/>
      <c r="C59" s="4"/>
    </row>
    <row r="60" spans="1:3" s="1" customFormat="1" ht="11.25">
      <c r="A60" s="5"/>
      <c r="B60" s="5"/>
      <c r="C60" s="4"/>
    </row>
    <row r="61" spans="1:3" s="1" customFormat="1" ht="11.25">
      <c r="A61" s="5"/>
      <c r="B61" s="5"/>
      <c r="C61" s="4"/>
    </row>
    <row r="62" spans="1:3" s="1" customFormat="1" ht="11.25">
      <c r="A62" s="5"/>
      <c r="B62" s="5"/>
      <c r="C62" s="4"/>
    </row>
    <row r="63" spans="1:3" s="1" customFormat="1" ht="11.25">
      <c r="A63" s="5"/>
      <c r="B63" s="5"/>
      <c r="C63" s="4"/>
    </row>
    <row r="64" spans="1:3" s="1" customFormat="1" ht="11.25">
      <c r="A64" s="5"/>
      <c r="B64" s="5"/>
      <c r="C64" s="4"/>
    </row>
    <row r="65" spans="1:3" s="1" customFormat="1" ht="11.25">
      <c r="A65" s="5"/>
      <c r="B65" s="5"/>
      <c r="C65" s="4"/>
    </row>
    <row r="66" spans="1:3" s="1" customFormat="1" ht="11.25">
      <c r="A66" s="5"/>
      <c r="B66" s="5"/>
      <c r="C66" s="4"/>
    </row>
    <row r="67" spans="1:3" s="1" customFormat="1" ht="11.25">
      <c r="A67" s="5"/>
      <c r="B67" s="5"/>
      <c r="C67" s="4"/>
    </row>
    <row r="68" spans="1:3" s="1" customFormat="1" ht="11.25">
      <c r="A68" s="5"/>
      <c r="B68" s="5"/>
      <c r="C68" s="4"/>
    </row>
    <row r="69" spans="1:3" s="1" customFormat="1" ht="11.25">
      <c r="A69" s="5"/>
      <c r="B69" s="5"/>
      <c r="C69" s="4"/>
    </row>
    <row r="70" spans="1:3" s="1" customFormat="1" ht="11.25">
      <c r="A70" s="5"/>
      <c r="B70" s="5"/>
      <c r="C70" s="4"/>
    </row>
    <row r="71" spans="1:3" s="1" customFormat="1" ht="11.25">
      <c r="A71" s="5"/>
      <c r="B71" s="5"/>
      <c r="C71" s="4"/>
    </row>
    <row r="72" spans="1:3" s="1" customFormat="1" ht="11.25">
      <c r="A72" s="5"/>
      <c r="B72" s="5"/>
      <c r="C72" s="4"/>
    </row>
    <row r="73" spans="1:3" s="1" customFormat="1" ht="11.25">
      <c r="A73" s="5"/>
      <c r="B73" s="5"/>
      <c r="C73" s="4"/>
    </row>
    <row r="74" spans="1:3" s="1" customFormat="1" ht="11.25">
      <c r="A74" s="5"/>
      <c r="B74" s="5"/>
      <c r="C74" s="4"/>
    </row>
    <row r="75" spans="1:3" s="1" customFormat="1" ht="11.25">
      <c r="A75" s="5"/>
      <c r="B75" s="5"/>
      <c r="C75" s="4"/>
    </row>
    <row r="76" spans="1:3" s="1" customFormat="1" ht="11.25">
      <c r="A76" s="5"/>
      <c r="B76" s="5"/>
      <c r="C76" s="4"/>
    </row>
    <row r="77" spans="1:3" s="1" customFormat="1" ht="11.25">
      <c r="A77" s="5"/>
      <c r="B77" s="5"/>
      <c r="C77" s="4"/>
    </row>
    <row r="78" spans="1:3" s="1" customFormat="1" ht="11.25">
      <c r="A78" s="5"/>
      <c r="B78" s="5"/>
      <c r="C78" s="4"/>
    </row>
    <row r="79" spans="1:3" s="1" customFormat="1" ht="11.25">
      <c r="A79" s="5"/>
      <c r="B79" s="5"/>
      <c r="C79" s="4"/>
    </row>
    <row r="80" spans="1:3" s="1" customFormat="1" ht="11.25">
      <c r="A80" s="5"/>
      <c r="B80" s="5"/>
      <c r="C80" s="4"/>
    </row>
  </sheetData>
  <sheetProtection/>
  <mergeCells count="28">
    <mergeCell ref="A28:B28"/>
    <mergeCell ref="A16:B16"/>
    <mergeCell ref="A30:B30"/>
    <mergeCell ref="A23:B23"/>
    <mergeCell ref="A22:B22"/>
    <mergeCell ref="A29:B29"/>
    <mergeCell ref="A15:B15"/>
    <mergeCell ref="A17:B17"/>
    <mergeCell ref="A18:B18"/>
    <mergeCell ref="A19:B19"/>
    <mergeCell ref="A20:B20"/>
    <mergeCell ref="A21:B21"/>
    <mergeCell ref="A8:B8"/>
    <mergeCell ref="A9:B9"/>
    <mergeCell ref="A5:B5"/>
    <mergeCell ref="A6:B6"/>
    <mergeCell ref="A7:B7"/>
    <mergeCell ref="A2:D2"/>
    <mergeCell ref="A43:D43"/>
    <mergeCell ref="A49:D49"/>
    <mergeCell ref="A10:B10"/>
    <mergeCell ref="A12:B12"/>
    <mergeCell ref="A37:D37"/>
    <mergeCell ref="A31:B31"/>
    <mergeCell ref="A27:B27"/>
    <mergeCell ref="A32:B32"/>
    <mergeCell ref="A33:B33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21"/>
  <sheetViews>
    <sheetView showGridLines="0" view="pageBreakPreview" zoomScale="90" zoomScaleSheetLayoutView="90" zoomScalePageLayoutView="0" workbookViewId="0" topLeftCell="A1">
      <selection activeCell="A17" sqref="A17:C20"/>
    </sheetView>
  </sheetViews>
  <sheetFormatPr defaultColWidth="9.28125" defaultRowHeight="12.75"/>
  <cols>
    <col min="1" max="1" width="55.28125" style="52" customWidth="1"/>
    <col min="2" max="3" width="18.28125" style="52" bestFit="1" customWidth="1"/>
    <col min="4" max="16384" width="9.28125" style="52" customWidth="1"/>
  </cols>
  <sheetData>
    <row r="1" ht="12.75">
      <c r="A1" s="75"/>
    </row>
    <row r="2" spans="1:3" s="58" customFormat="1" ht="12.75">
      <c r="A2" s="472" t="s">
        <v>736</v>
      </c>
      <c r="B2" s="468"/>
      <c r="C2" s="468"/>
    </row>
    <row r="3" spans="1:3" ht="12.75">
      <c r="A3" s="53"/>
      <c r="B3" s="3"/>
      <c r="C3" s="3"/>
    </row>
    <row r="4" spans="1:3" ht="12.75">
      <c r="A4" s="72" t="s">
        <v>70</v>
      </c>
      <c r="B4" s="3"/>
      <c r="C4" s="3"/>
    </row>
    <row r="5" spans="1:3" ht="12.75">
      <c r="A5" s="3"/>
      <c r="B5" s="720"/>
      <c r="C5" s="720"/>
    </row>
    <row r="6" spans="1:3" ht="24" customHeight="1">
      <c r="A6" s="133" t="s">
        <v>330</v>
      </c>
      <c r="B6" s="96" t="str">
        <f>'Dane podstawowe'!$B$7</f>
        <v>01.01.2022 - 31.12.2022</v>
      </c>
      <c r="C6" s="96" t="str">
        <f>'Dane podstawowe'!B12</f>
        <v>01.01.2021 - 31.12.2021</v>
      </c>
    </row>
    <row r="7" spans="1:3" ht="12.75">
      <c r="A7" s="55" t="s">
        <v>178</v>
      </c>
      <c r="B7" s="195">
        <v>30</v>
      </c>
      <c r="C7" s="195">
        <v>34</v>
      </c>
    </row>
    <row r="8" spans="1:3" ht="12.75">
      <c r="A8" s="55" t="s">
        <v>554</v>
      </c>
      <c r="B8" s="195">
        <v>11</v>
      </c>
      <c r="C8" s="195">
        <v>11</v>
      </c>
    </row>
    <row r="9" spans="1:3" ht="12.75">
      <c r="A9" s="55" t="s">
        <v>179</v>
      </c>
      <c r="B9" s="195">
        <v>3</v>
      </c>
      <c r="C9" s="195">
        <v>3</v>
      </c>
    </row>
    <row r="10" spans="1:3" ht="12.75">
      <c r="A10" s="55" t="s">
        <v>555</v>
      </c>
      <c r="B10" s="195">
        <v>25</v>
      </c>
      <c r="C10" s="195">
        <v>20</v>
      </c>
    </row>
    <row r="11" spans="1:3" ht="12.75" hidden="1">
      <c r="A11" s="55"/>
      <c r="B11" s="593"/>
      <c r="C11" s="113"/>
    </row>
    <row r="12" spans="1:3" ht="12.75">
      <c r="A12" s="77" t="s">
        <v>339</v>
      </c>
      <c r="B12" s="123">
        <f>SUM(B7:B11)</f>
        <v>69</v>
      </c>
      <c r="C12" s="123">
        <f>SUM(C7:C11)</f>
        <v>68</v>
      </c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72" t="s">
        <v>338</v>
      </c>
      <c r="B15" s="3"/>
      <c r="C15" s="3"/>
    </row>
    <row r="16" spans="1:3" ht="12.75">
      <c r="A16" s="3"/>
      <c r="B16" s="3"/>
      <c r="C16" s="3"/>
    </row>
    <row r="17" spans="1:3" ht="21.75" customHeight="1">
      <c r="A17" s="133" t="s">
        <v>330</v>
      </c>
      <c r="B17" s="150" t="str">
        <f>B6</f>
        <v>01.01.2022 - 31.12.2022</v>
      </c>
      <c r="C17" s="96" t="str">
        <f>C6</f>
        <v>01.01.2021 - 31.12.2021</v>
      </c>
    </row>
    <row r="18" spans="1:3" ht="12.75">
      <c r="A18" s="130" t="s">
        <v>68</v>
      </c>
      <c r="B18" s="678">
        <v>17</v>
      </c>
      <c r="C18" s="575">
        <v>14</v>
      </c>
    </row>
    <row r="19" spans="1:3" ht="12.75">
      <c r="A19" s="130" t="s">
        <v>69</v>
      </c>
      <c r="B19" s="678">
        <v>15</v>
      </c>
      <c r="C19" s="575">
        <v>10</v>
      </c>
    </row>
    <row r="20" spans="1:3" ht="12.75">
      <c r="A20" s="78" t="s">
        <v>339</v>
      </c>
      <c r="B20" s="162">
        <f>B18-B19</f>
        <v>2</v>
      </c>
      <c r="C20" s="162">
        <f>C18-C19</f>
        <v>4</v>
      </c>
    </row>
    <row r="21" spans="1:3" ht="12.75">
      <c r="A21" s="3"/>
      <c r="B21" s="380"/>
      <c r="C21" s="380"/>
    </row>
  </sheetData>
  <sheetProtection/>
  <mergeCells count="1">
    <mergeCell ref="B5:C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6" sqref="F6"/>
    </sheetView>
  </sheetViews>
  <sheetFormatPr defaultColWidth="9.28125" defaultRowHeight="12.75"/>
  <cols>
    <col min="1" max="1" width="55.28125" style="52" customWidth="1"/>
    <col min="2" max="3" width="18.28125" style="52" bestFit="1" customWidth="1"/>
    <col min="4" max="16384" width="9.28125" style="52" customWidth="1"/>
  </cols>
  <sheetData>
    <row r="1" ht="12.75">
      <c r="A1" s="75"/>
    </row>
    <row r="2" spans="1:3" s="58" customFormat="1" ht="12.75">
      <c r="A2" s="472" t="s">
        <v>956</v>
      </c>
      <c r="B2" s="468"/>
      <c r="C2" s="468"/>
    </row>
    <row r="3" spans="1:3" ht="13.5" thickBot="1">
      <c r="A3" s="53"/>
      <c r="B3" s="3"/>
      <c r="C3" s="3"/>
    </row>
    <row r="4" spans="1:2" ht="13.5" thickBot="1">
      <c r="A4" s="664" t="s">
        <v>859</v>
      </c>
      <c r="B4" s="665">
        <v>44926</v>
      </c>
    </row>
    <row r="5" spans="1:2" ht="13.5" thickBot="1">
      <c r="A5" s="666" t="s">
        <v>860</v>
      </c>
      <c r="B5" s="667" t="s">
        <v>861</v>
      </c>
    </row>
    <row r="6" spans="1:2" ht="24" customHeight="1" thickBot="1">
      <c r="A6" s="666" t="s">
        <v>862</v>
      </c>
      <c r="B6" s="667" t="s">
        <v>863</v>
      </c>
    </row>
    <row r="7" spans="1:2" ht="13.5" thickBot="1">
      <c r="A7" s="666" t="s">
        <v>864</v>
      </c>
      <c r="B7" s="667" t="s">
        <v>865</v>
      </c>
    </row>
    <row r="8" spans="1:2" ht="12.75">
      <c r="A8" s="777" t="s">
        <v>866</v>
      </c>
      <c r="B8" s="668" t="s">
        <v>867</v>
      </c>
    </row>
    <row r="9" spans="1:2" ht="13.5" thickBot="1">
      <c r="A9" s="778"/>
      <c r="B9" s="667" t="s">
        <v>868</v>
      </c>
    </row>
    <row r="10" spans="1:2" ht="13.5" thickBot="1">
      <c r="A10" s="666" t="s">
        <v>869</v>
      </c>
      <c r="B10" s="669">
        <v>0.1</v>
      </c>
    </row>
    <row r="11" spans="1:2" ht="13.5" thickBot="1">
      <c r="A11" s="666" t="s">
        <v>870</v>
      </c>
      <c r="B11" s="669">
        <v>7</v>
      </c>
    </row>
    <row r="12" spans="1:2" ht="13.5" thickBot="1">
      <c r="A12" s="666" t="s">
        <v>871</v>
      </c>
      <c r="B12" s="670">
        <v>0.545</v>
      </c>
    </row>
    <row r="13" spans="1:2" ht="13.5" thickBot="1">
      <c r="A13" s="666" t="s">
        <v>872</v>
      </c>
      <c r="B13" s="670">
        <v>0.017</v>
      </c>
    </row>
    <row r="14" spans="1:2" ht="13.5" thickBot="1">
      <c r="A14" s="666" t="s">
        <v>873</v>
      </c>
      <c r="B14" s="667" t="s">
        <v>874</v>
      </c>
    </row>
    <row r="15" spans="1:2" ht="13.5" thickBot="1">
      <c r="A15" s="666" t="s">
        <v>875</v>
      </c>
      <c r="B15" s="669">
        <v>0</v>
      </c>
    </row>
    <row r="16" spans="1:2" ht="13.5" thickBot="1">
      <c r="A16" s="666" t="s">
        <v>876</v>
      </c>
      <c r="B16" s="667" t="s">
        <v>877</v>
      </c>
    </row>
    <row r="17" ht="21.75" customHeight="1"/>
  </sheetData>
  <sheetProtection/>
  <mergeCells count="1">
    <mergeCell ref="A8:A9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"/>
  <sheetViews>
    <sheetView showGridLines="0" view="pageBreakPreview" zoomScale="90" zoomScaleSheetLayoutView="90" zoomScalePageLayoutView="0" workbookViewId="0" topLeftCell="A1">
      <selection activeCell="H18" sqref="H18"/>
    </sheetView>
  </sheetViews>
  <sheetFormatPr defaultColWidth="9.140625" defaultRowHeight="12.75"/>
  <cols>
    <col min="1" max="1" width="46.57421875" style="0" customWidth="1"/>
    <col min="2" max="2" width="13.7109375" style="0" customWidth="1"/>
    <col min="3" max="3" width="14.7109375" style="0" customWidth="1"/>
    <col min="5" max="5" width="11.57421875" style="0" customWidth="1"/>
  </cols>
  <sheetData>
    <row r="2" s="475" customFormat="1" ht="12.75">
      <c r="A2" s="466" t="s">
        <v>957</v>
      </c>
    </row>
    <row r="3" ht="12.75">
      <c r="A3" s="473"/>
    </row>
    <row r="4" spans="1:3" ht="22.5">
      <c r="A4" s="474" t="s">
        <v>166</v>
      </c>
      <c r="B4" s="96" t="str">
        <f>'Dane podstawowe'!$B$7</f>
        <v>01.01.2022 - 31.12.2022</v>
      </c>
      <c r="C4" s="96" t="str">
        <f>'Dane podstawowe'!$B$12</f>
        <v>01.01.2021 - 31.12.2021</v>
      </c>
    </row>
    <row r="5" spans="1:3" ht="22.5">
      <c r="A5" s="455" t="s">
        <v>167</v>
      </c>
      <c r="B5" s="195">
        <v>30000</v>
      </c>
      <c r="C5" s="195">
        <v>30000</v>
      </c>
    </row>
    <row r="6" spans="1:3" ht="33.75">
      <c r="A6" s="569" t="s">
        <v>708</v>
      </c>
      <c r="B6" s="195">
        <v>18000</v>
      </c>
      <c r="C6" s="195">
        <v>18000</v>
      </c>
    </row>
    <row r="7" spans="1:3" ht="12.75">
      <c r="A7" s="569" t="s">
        <v>709</v>
      </c>
      <c r="B7" s="195">
        <v>5000</v>
      </c>
      <c r="C7" s="195">
        <v>5000</v>
      </c>
    </row>
    <row r="8" spans="1:3" ht="24" customHeight="1" hidden="1">
      <c r="A8" s="569" t="s">
        <v>560</v>
      </c>
      <c r="B8" s="195">
        <v>0</v>
      </c>
      <c r="C8" s="195">
        <v>0</v>
      </c>
    </row>
    <row r="9" spans="1:3" ht="12.75">
      <c r="A9" s="82" t="s">
        <v>38</v>
      </c>
      <c r="B9" s="123">
        <f>SUM(B5:B8)</f>
        <v>53000</v>
      </c>
      <c r="C9" s="123">
        <f>SUM(C5:C8)</f>
        <v>53000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74"/>
  <sheetViews>
    <sheetView showGridLines="0" view="pageBreakPreview" zoomScale="90" zoomScaleSheetLayoutView="90" zoomScalePageLayoutView="0" workbookViewId="0" topLeftCell="A1">
      <selection activeCell="F7" sqref="F7"/>
    </sheetView>
  </sheetViews>
  <sheetFormatPr defaultColWidth="9.28125" defaultRowHeight="12.75"/>
  <cols>
    <col min="1" max="1" width="56.28125" style="155" customWidth="1"/>
    <col min="2" max="3" width="13.7109375" style="155" customWidth="1"/>
    <col min="4" max="6" width="9.28125" style="155" customWidth="1"/>
    <col min="7" max="16384" width="9.28125" style="52" customWidth="1"/>
  </cols>
  <sheetData>
    <row r="1" spans="1:6" ht="12.75">
      <c r="A1" s="75"/>
      <c r="B1" s="52"/>
      <c r="C1" s="52"/>
      <c r="D1" s="52"/>
      <c r="E1" s="52"/>
      <c r="F1" s="52"/>
    </row>
    <row r="2" s="468" customFormat="1" ht="12.75">
      <c r="A2" s="467" t="s">
        <v>958</v>
      </c>
    </row>
    <row r="3" s="3" customFormat="1" ht="11.25"/>
    <row r="4" spans="1:9" s="3" customFormat="1" ht="11.25">
      <c r="A4" s="133" t="s">
        <v>330</v>
      </c>
      <c r="B4" s="586">
        <f>'Dane podstawowe'!$B$9</f>
        <v>44926</v>
      </c>
      <c r="C4" s="586">
        <f>'Dane podstawowe'!B14</f>
        <v>44561</v>
      </c>
      <c r="G4" s="124"/>
      <c r="H4" s="124"/>
      <c r="I4" s="124"/>
    </row>
    <row r="5" spans="1:9" s="48" customFormat="1" ht="11.25">
      <c r="A5" s="82" t="s">
        <v>381</v>
      </c>
      <c r="B5" s="158">
        <v>178411</v>
      </c>
      <c r="C5" s="158">
        <v>167921</v>
      </c>
      <c r="D5" s="50"/>
      <c r="E5" s="50"/>
      <c r="F5" s="50"/>
      <c r="G5" s="190"/>
      <c r="H5" s="190"/>
      <c r="I5" s="190"/>
    </row>
    <row r="6" spans="1:9" s="48" customFormat="1" ht="11.25">
      <c r="A6" s="455" t="s">
        <v>468</v>
      </c>
      <c r="B6" s="444">
        <v>0</v>
      </c>
      <c r="C6" s="444">
        <v>0</v>
      </c>
      <c r="D6" s="50"/>
      <c r="E6" s="50"/>
      <c r="F6" s="50"/>
      <c r="G6" s="190"/>
      <c r="H6" s="190"/>
      <c r="I6" s="190"/>
    </row>
    <row r="7" spans="1:9" s="48" customFormat="1" ht="22.5">
      <c r="A7" s="455" t="s">
        <v>469</v>
      </c>
      <c r="B7" s="116">
        <v>0</v>
      </c>
      <c r="C7" s="116">
        <v>0</v>
      </c>
      <c r="D7" s="50"/>
      <c r="E7" s="50"/>
      <c r="F7" s="50"/>
      <c r="G7" s="190"/>
      <c r="H7" s="190"/>
      <c r="I7" s="190"/>
    </row>
    <row r="8" spans="1:9" s="48" customFormat="1" ht="22.5">
      <c r="A8" s="82" t="s">
        <v>409</v>
      </c>
      <c r="B8" s="158">
        <f>B5+B6+B7</f>
        <v>178411</v>
      </c>
      <c r="C8" s="158">
        <f>C5+C6+C7</f>
        <v>167921</v>
      </c>
      <c r="D8" s="50"/>
      <c r="E8" s="50"/>
      <c r="F8" s="50"/>
      <c r="G8" s="190"/>
      <c r="H8" s="190"/>
      <c r="I8" s="190"/>
    </row>
    <row r="9" spans="1:9" s="3" customFormat="1" ht="30" customHeight="1">
      <c r="A9" s="62"/>
      <c r="B9" s="208"/>
      <c r="C9" s="208"/>
      <c r="D9" s="178"/>
      <c r="E9" s="178"/>
      <c r="F9" s="178"/>
      <c r="G9" s="124"/>
      <c r="H9" s="124"/>
      <c r="I9" s="124"/>
    </row>
    <row r="10" spans="1:6" s="3" customFormat="1" ht="11.25">
      <c r="A10" s="133" t="s">
        <v>330</v>
      </c>
      <c r="B10" s="586">
        <f>'Dane podstawowe'!$B$9</f>
        <v>44926</v>
      </c>
      <c r="C10" s="586">
        <f>'Dane podstawowe'!B14</f>
        <v>44561</v>
      </c>
      <c r="D10" s="62"/>
      <c r="E10" s="62"/>
      <c r="F10" s="62"/>
    </row>
    <row r="11" spans="1:6" s="3" customFormat="1" ht="11.25">
      <c r="A11" s="82" t="s">
        <v>651</v>
      </c>
      <c r="B11" s="158">
        <f>B12+B13+B14</f>
        <v>782842</v>
      </c>
      <c r="C11" s="158">
        <f>C12+C13+C14</f>
        <v>856101</v>
      </c>
      <c r="D11" s="62"/>
      <c r="E11" s="62"/>
      <c r="F11" s="62"/>
    </row>
    <row r="12" spans="1:6" s="3" customFormat="1" ht="11.25">
      <c r="A12" s="455" t="s">
        <v>155</v>
      </c>
      <c r="B12" s="444">
        <v>216406</v>
      </c>
      <c r="C12" s="444">
        <v>302895</v>
      </c>
      <c r="D12" s="62"/>
      <c r="E12" s="62"/>
      <c r="F12" s="62"/>
    </row>
    <row r="13" spans="1:6" s="3" customFormat="1" ht="11.25">
      <c r="A13" s="455" t="s">
        <v>156</v>
      </c>
      <c r="B13" s="444">
        <v>167201</v>
      </c>
      <c r="C13" s="444">
        <v>136504</v>
      </c>
      <c r="D13" s="62"/>
      <c r="E13" s="62"/>
      <c r="F13" s="62"/>
    </row>
    <row r="14" spans="1:6" s="3" customFormat="1" ht="11.25">
      <c r="A14" s="455" t="s">
        <v>676</v>
      </c>
      <c r="B14" s="444">
        <v>399235</v>
      </c>
      <c r="C14" s="444">
        <v>416702</v>
      </c>
      <c r="D14" s="62"/>
      <c r="E14" s="62"/>
      <c r="F14" s="62"/>
    </row>
    <row r="15" spans="1:6" s="3" customFormat="1" ht="11.25">
      <c r="A15" s="455"/>
      <c r="B15" s="158"/>
      <c r="C15" s="158"/>
      <c r="D15" s="62"/>
      <c r="E15" s="62"/>
      <c r="F15" s="62"/>
    </row>
    <row r="16" spans="1:6" s="3" customFormat="1" ht="11.25">
      <c r="A16" s="82" t="s">
        <v>410</v>
      </c>
      <c r="B16" s="158">
        <f>SUM(B17:B25)</f>
        <v>-3595050</v>
      </c>
      <c r="C16" s="158">
        <f>SUM(C17:C25)</f>
        <v>-798255</v>
      </c>
      <c r="D16" s="62"/>
      <c r="E16" s="62"/>
      <c r="F16" s="62"/>
    </row>
    <row r="17" spans="1:6" s="3" customFormat="1" ht="11.25" hidden="1">
      <c r="A17" s="455" t="s">
        <v>411</v>
      </c>
      <c r="B17" s="444">
        <v>0</v>
      </c>
      <c r="C17" s="444">
        <v>0</v>
      </c>
      <c r="D17" s="62"/>
      <c r="E17" s="62"/>
      <c r="F17" s="62"/>
    </row>
    <row r="18" spans="1:6" s="3" customFormat="1" ht="11.25" hidden="1">
      <c r="A18" s="455" t="s">
        <v>412</v>
      </c>
      <c r="B18" s="444">
        <v>0</v>
      </c>
      <c r="C18" s="444">
        <v>0</v>
      </c>
      <c r="D18" s="62"/>
      <c r="E18" s="62"/>
      <c r="F18" s="62"/>
    </row>
    <row r="19" spans="1:6" s="3" customFormat="1" ht="11.25">
      <c r="A19" s="455" t="s">
        <v>556</v>
      </c>
      <c r="B19" s="444">
        <v>49232</v>
      </c>
      <c r="C19" s="444">
        <v>18468</v>
      </c>
      <c r="D19" s="62"/>
      <c r="E19" s="62"/>
      <c r="F19" s="62"/>
    </row>
    <row r="20" spans="1:6" s="3" customFormat="1" ht="11.25" hidden="1">
      <c r="A20" s="455" t="s">
        <v>413</v>
      </c>
      <c r="B20" s="444"/>
      <c r="C20" s="444">
        <v>0</v>
      </c>
      <c r="D20" s="62"/>
      <c r="E20" s="62"/>
      <c r="F20" s="62"/>
    </row>
    <row r="21" spans="1:6" s="3" customFormat="1" ht="11.25" hidden="1">
      <c r="A21" s="455" t="s">
        <v>414</v>
      </c>
      <c r="B21" s="444"/>
      <c r="C21" s="444">
        <v>0</v>
      </c>
      <c r="D21" s="62"/>
      <c r="E21" s="62"/>
      <c r="F21" s="62"/>
    </row>
    <row r="22" spans="1:6" s="3" customFormat="1" ht="11.25">
      <c r="A22" s="455" t="s">
        <v>581</v>
      </c>
      <c r="B22" s="444">
        <v>-3634932</v>
      </c>
      <c r="C22" s="444">
        <v>-811891</v>
      </c>
      <c r="D22" s="62"/>
      <c r="E22" s="62"/>
      <c r="F22" s="62"/>
    </row>
    <row r="23" spans="1:6" s="3" customFormat="1" ht="11.25">
      <c r="A23" s="455" t="s">
        <v>415</v>
      </c>
      <c r="B23" s="444">
        <v>-31536</v>
      </c>
      <c r="C23" s="444">
        <v>-36828</v>
      </c>
      <c r="D23" s="62"/>
      <c r="E23" s="62"/>
      <c r="F23" s="62"/>
    </row>
    <row r="24" spans="1:6" s="3" customFormat="1" ht="11.25">
      <c r="A24" s="455" t="s">
        <v>842</v>
      </c>
      <c r="B24" s="444">
        <v>22186</v>
      </c>
      <c r="C24" s="444">
        <v>31996</v>
      </c>
      <c r="D24" s="62"/>
      <c r="E24" s="62"/>
      <c r="F24" s="62"/>
    </row>
    <row r="25" spans="1:6" s="3" customFormat="1" ht="11.25">
      <c r="A25" s="455"/>
      <c r="B25" s="158"/>
      <c r="C25" s="158"/>
      <c r="D25" s="62"/>
      <c r="E25" s="62"/>
      <c r="F25" s="62"/>
    </row>
    <row r="26" spans="1:6" s="3" customFormat="1" ht="11.25">
      <c r="A26" s="82" t="s">
        <v>416</v>
      </c>
      <c r="B26" s="158">
        <f>SUM(B27:B36)</f>
        <v>-692130</v>
      </c>
      <c r="C26" s="158">
        <f>SUM(C27:C36)</f>
        <v>34491</v>
      </c>
      <c r="D26" s="62"/>
      <c r="E26" s="62"/>
      <c r="F26" s="62"/>
    </row>
    <row r="27" spans="1:6" s="3" customFormat="1" ht="11.25" hidden="1">
      <c r="A27" s="455" t="s">
        <v>652</v>
      </c>
      <c r="B27" s="444">
        <v>0</v>
      </c>
      <c r="C27" s="444">
        <v>0</v>
      </c>
      <c r="D27" s="62"/>
      <c r="E27" s="62"/>
      <c r="F27" s="62"/>
    </row>
    <row r="28" spans="1:6" s="3" customFormat="1" ht="11.25" hidden="1">
      <c r="A28" s="455" t="s">
        <v>152</v>
      </c>
      <c r="B28" s="444">
        <v>0</v>
      </c>
      <c r="C28" s="444">
        <v>0</v>
      </c>
      <c r="D28" s="62"/>
      <c r="E28" s="62"/>
      <c r="F28" s="62"/>
    </row>
    <row r="29" spans="1:6" s="3" customFormat="1" ht="11.25" hidden="1">
      <c r="A29" s="455" t="s">
        <v>153</v>
      </c>
      <c r="B29" s="444">
        <v>0</v>
      </c>
      <c r="C29" s="444">
        <v>0</v>
      </c>
      <c r="D29" s="62"/>
      <c r="E29" s="62"/>
      <c r="F29" s="62"/>
    </row>
    <row r="30" spans="1:6" s="3" customFormat="1" ht="11.25" hidden="1">
      <c r="A30" s="455" t="s">
        <v>154</v>
      </c>
      <c r="B30" s="444">
        <v>0</v>
      </c>
      <c r="C30" s="444">
        <v>0</v>
      </c>
      <c r="D30" s="62"/>
      <c r="E30" s="62"/>
      <c r="F30" s="62"/>
    </row>
    <row r="31" spans="1:6" s="3" customFormat="1" ht="11.25" hidden="1">
      <c r="A31" s="455" t="s">
        <v>417</v>
      </c>
      <c r="B31" s="444">
        <v>0</v>
      </c>
      <c r="C31" s="444">
        <v>0</v>
      </c>
      <c r="D31" s="62"/>
      <c r="E31" s="62"/>
      <c r="F31" s="62"/>
    </row>
    <row r="32" spans="1:6" s="3" customFormat="1" ht="11.25">
      <c r="A32" s="455" t="s">
        <v>582</v>
      </c>
      <c r="B32" s="444"/>
      <c r="C32" s="444">
        <v>12123</v>
      </c>
      <c r="D32" s="62"/>
      <c r="E32" s="62"/>
      <c r="F32" s="62"/>
    </row>
    <row r="33" spans="1:6" s="3" customFormat="1" ht="11.25">
      <c r="A33" s="455" t="s">
        <v>648</v>
      </c>
      <c r="B33" s="444">
        <v>229455</v>
      </c>
      <c r="C33" s="444">
        <v>21245</v>
      </c>
      <c r="D33" s="62"/>
      <c r="E33" s="62"/>
      <c r="F33" s="62"/>
    </row>
    <row r="34" spans="1:6" s="3" customFormat="1" ht="11.25">
      <c r="A34" s="455" t="s">
        <v>724</v>
      </c>
      <c r="B34" s="444">
        <v>-925890</v>
      </c>
      <c r="C34" s="444">
        <v>1123</v>
      </c>
      <c r="D34" s="62"/>
      <c r="E34" s="62"/>
      <c r="F34" s="62"/>
    </row>
    <row r="35" spans="1:6" s="3" customFormat="1" ht="11.25">
      <c r="A35" s="455" t="s">
        <v>918</v>
      </c>
      <c r="B35" s="444">
        <v>4305</v>
      </c>
      <c r="C35" s="444">
        <v>0</v>
      </c>
      <c r="D35" s="62"/>
      <c r="E35" s="62"/>
      <c r="F35" s="62"/>
    </row>
    <row r="36" spans="1:6" s="3" customFormat="1" ht="11.25">
      <c r="A36" s="455"/>
      <c r="B36" s="158"/>
      <c r="C36" s="158"/>
      <c r="D36" s="62"/>
      <c r="E36" s="62"/>
      <c r="F36" s="62"/>
    </row>
    <row r="37" spans="1:6" s="3" customFormat="1" ht="11.25">
      <c r="A37" s="82" t="s">
        <v>230</v>
      </c>
      <c r="B37" s="158">
        <f>SUM(B38:B42)</f>
        <v>-11782</v>
      </c>
      <c r="C37" s="158">
        <f>SUM(C38:C42)</f>
        <v>217662</v>
      </c>
      <c r="D37" s="62"/>
      <c r="E37" s="62"/>
      <c r="F37" s="62"/>
    </row>
    <row r="38" spans="1:6" s="3" customFormat="1" ht="11.25">
      <c r="A38" s="455" t="s">
        <v>649</v>
      </c>
      <c r="B38" s="574">
        <v>59891</v>
      </c>
      <c r="C38" s="574">
        <v>-11223</v>
      </c>
      <c r="D38" s="62"/>
      <c r="E38" s="62"/>
      <c r="F38" s="62"/>
    </row>
    <row r="39" spans="1:6" s="3" customFormat="1" ht="11.25">
      <c r="A39" s="455" t="s">
        <v>160</v>
      </c>
      <c r="B39" s="444">
        <v>-71673</v>
      </c>
      <c r="C39" s="444">
        <v>228885</v>
      </c>
      <c r="D39" s="62"/>
      <c r="E39" s="62"/>
      <c r="F39" s="62"/>
    </row>
    <row r="40" spans="1:6" s="3" customFormat="1" ht="22.5" hidden="1">
      <c r="A40" s="455" t="s">
        <v>161</v>
      </c>
      <c r="B40" s="444">
        <v>0</v>
      </c>
      <c r="C40" s="444">
        <v>0</v>
      </c>
      <c r="D40" s="62"/>
      <c r="E40" s="62"/>
      <c r="F40" s="62"/>
    </row>
    <row r="41" spans="1:6" s="3" customFormat="1" ht="22.5" hidden="1">
      <c r="A41" s="455" t="s">
        <v>162</v>
      </c>
      <c r="B41" s="444">
        <v>0</v>
      </c>
      <c r="C41" s="444">
        <v>0</v>
      </c>
      <c r="D41" s="62"/>
      <c r="E41" s="62"/>
      <c r="F41" s="62"/>
    </row>
    <row r="42" spans="1:6" s="3" customFormat="1" ht="11.25">
      <c r="A42" s="82"/>
      <c r="B42" s="158"/>
      <c r="C42" s="158"/>
      <c r="D42" s="62"/>
      <c r="E42" s="62"/>
      <c r="F42" s="62"/>
    </row>
    <row r="43" spans="1:6" s="3" customFormat="1" ht="11.25">
      <c r="A43" s="82" t="s">
        <v>231</v>
      </c>
      <c r="B43" s="158">
        <f>SUM(B44:B47)</f>
        <v>0</v>
      </c>
      <c r="C43" s="158">
        <f>SUM(C44:C47)</f>
        <v>0</v>
      </c>
      <c r="D43" s="62"/>
      <c r="E43" s="62"/>
      <c r="F43" s="62"/>
    </row>
    <row r="44" spans="1:6" s="3" customFormat="1" ht="11.25" hidden="1">
      <c r="A44" s="455" t="s">
        <v>157</v>
      </c>
      <c r="B44" s="444">
        <v>0</v>
      </c>
      <c r="C44" s="444">
        <v>0</v>
      </c>
      <c r="D44" s="155"/>
      <c r="E44" s="155"/>
      <c r="F44" s="155"/>
    </row>
    <row r="45" spans="1:6" s="3" customFormat="1" ht="22.5" hidden="1">
      <c r="A45" s="455" t="s">
        <v>158</v>
      </c>
      <c r="B45" s="444">
        <v>0</v>
      </c>
      <c r="C45" s="444">
        <v>0</v>
      </c>
      <c r="D45" s="155"/>
      <c r="E45" s="155"/>
      <c r="F45" s="155"/>
    </row>
    <row r="46" spans="1:6" s="3" customFormat="1" ht="22.5" hidden="1">
      <c r="A46" s="455" t="s">
        <v>159</v>
      </c>
      <c r="B46" s="444">
        <v>0</v>
      </c>
      <c r="C46" s="444">
        <v>0</v>
      </c>
      <c r="D46" s="155"/>
      <c r="E46" s="155"/>
      <c r="F46" s="155"/>
    </row>
    <row r="47" spans="1:6" s="3" customFormat="1" ht="11.25">
      <c r="A47" s="455"/>
      <c r="B47" s="158"/>
      <c r="C47" s="158"/>
      <c r="D47" s="155"/>
      <c r="E47" s="155"/>
      <c r="F47" s="155">
        <f>374632-364389</f>
        <v>10243</v>
      </c>
    </row>
    <row r="48" spans="1:6" s="3" customFormat="1" ht="11.25">
      <c r="A48" s="82" t="s">
        <v>418</v>
      </c>
      <c r="B48" s="158">
        <f>SUM(B49:B57)</f>
        <v>-726232</v>
      </c>
      <c r="C48" s="158">
        <f>SUM(C49:C57)</f>
        <v>-1259886</v>
      </c>
      <c r="D48" s="155"/>
      <c r="E48" s="155"/>
      <c r="F48" s="155"/>
    </row>
    <row r="49" spans="1:6" s="3" customFormat="1" ht="11.25">
      <c r="A49" s="455" t="s">
        <v>419</v>
      </c>
      <c r="B49" s="444">
        <v>-499266</v>
      </c>
      <c r="C49" s="444">
        <v>-1425278</v>
      </c>
      <c r="D49" s="155"/>
      <c r="E49" s="155"/>
      <c r="F49" s="155"/>
    </row>
    <row r="50" spans="1:6" s="3" customFormat="1" ht="11.25">
      <c r="A50" s="455" t="s">
        <v>420</v>
      </c>
      <c r="B50" s="444">
        <v>0</v>
      </c>
      <c r="C50" s="444">
        <v>0</v>
      </c>
      <c r="D50" s="155"/>
      <c r="E50" s="155"/>
      <c r="F50" s="155"/>
    </row>
    <row r="51" spans="1:6" s="3" customFormat="1" ht="11.25">
      <c r="A51" s="455" t="s">
        <v>843</v>
      </c>
      <c r="B51" s="444">
        <f>-134106-92860</f>
        <v>-226966</v>
      </c>
      <c r="C51" s="444">
        <v>165392</v>
      </c>
      <c r="D51" s="155"/>
      <c r="E51" s="155"/>
      <c r="F51" s="155"/>
    </row>
    <row r="52" spans="1:6" s="3" customFormat="1" ht="22.5" hidden="1">
      <c r="A52" s="455" t="s">
        <v>145</v>
      </c>
      <c r="B52" s="444">
        <v>0</v>
      </c>
      <c r="C52" s="444">
        <v>0</v>
      </c>
      <c r="D52" s="155"/>
      <c r="E52" s="155"/>
      <c r="F52" s="155"/>
    </row>
    <row r="53" spans="1:6" s="3" customFormat="1" ht="11.25" hidden="1">
      <c r="A53" s="455" t="s">
        <v>146</v>
      </c>
      <c r="B53" s="444">
        <v>0</v>
      </c>
      <c r="C53" s="444">
        <v>0</v>
      </c>
      <c r="D53" s="155"/>
      <c r="E53" s="155"/>
      <c r="F53" s="155"/>
    </row>
    <row r="54" spans="1:6" s="3" customFormat="1" ht="11.25" hidden="1">
      <c r="A54" s="455" t="s">
        <v>147</v>
      </c>
      <c r="B54" s="444">
        <v>0</v>
      </c>
      <c r="C54" s="444">
        <v>0</v>
      </c>
      <c r="D54" s="155"/>
      <c r="E54" s="155"/>
      <c r="F54" s="155"/>
    </row>
    <row r="55" spans="1:6" s="3" customFormat="1" ht="22.5" hidden="1">
      <c r="A55" s="455" t="s">
        <v>163</v>
      </c>
      <c r="B55" s="444">
        <v>0</v>
      </c>
      <c r="C55" s="444">
        <v>0</v>
      </c>
      <c r="D55" s="155"/>
      <c r="E55" s="155"/>
      <c r="F55" s="155"/>
    </row>
    <row r="56" spans="1:3" ht="22.5" hidden="1">
      <c r="A56" s="455" t="s">
        <v>164</v>
      </c>
      <c r="B56" s="444">
        <v>0</v>
      </c>
      <c r="C56" s="444">
        <v>0</v>
      </c>
    </row>
    <row r="57" spans="1:3" ht="12.75">
      <c r="A57" s="455"/>
      <c r="B57" s="158"/>
      <c r="C57" s="158"/>
    </row>
    <row r="58" spans="1:3" ht="22.5">
      <c r="A58" s="82" t="s">
        <v>170</v>
      </c>
      <c r="B58" s="158">
        <f>SUM(B59:B68)</f>
        <v>-837711</v>
      </c>
      <c r="C58" s="158">
        <f>SUM(C59:C68)</f>
        <v>3931810</v>
      </c>
    </row>
    <row r="59" spans="1:3" ht="12.75">
      <c r="A59" s="455" t="s">
        <v>148</v>
      </c>
      <c r="B59" s="444">
        <f>543584+10243</f>
        <v>553827</v>
      </c>
      <c r="C59" s="444">
        <v>1796952</v>
      </c>
    </row>
    <row r="60" spans="1:3" ht="12.75">
      <c r="A60" s="455" t="s">
        <v>650</v>
      </c>
      <c r="B60" s="444">
        <v>-786258</v>
      </c>
      <c r="C60" s="444">
        <v>1011189</v>
      </c>
    </row>
    <row r="61" spans="1:3" ht="12.75">
      <c r="A61" s="455" t="s">
        <v>677</v>
      </c>
      <c r="B61" s="444">
        <v>-131958</v>
      </c>
      <c r="C61" s="444">
        <v>1099643</v>
      </c>
    </row>
    <row r="62" spans="1:3" ht="12.75" hidden="1">
      <c r="A62" s="455" t="s">
        <v>678</v>
      </c>
      <c r="B62" s="444"/>
      <c r="C62" s="444">
        <v>0</v>
      </c>
    </row>
    <row r="63" spans="1:3" ht="22.5">
      <c r="A63" s="455" t="s">
        <v>149</v>
      </c>
      <c r="B63" s="444">
        <v>-127322</v>
      </c>
      <c r="C63" s="444">
        <v>24026</v>
      </c>
    </row>
    <row r="64" spans="1:3" ht="12.75" hidden="1">
      <c r="A64" s="455" t="s">
        <v>150</v>
      </c>
      <c r="B64" s="444">
        <v>0</v>
      </c>
      <c r="C64" s="444">
        <v>0</v>
      </c>
    </row>
    <row r="65" spans="1:3" ht="22.5" hidden="1">
      <c r="A65" s="455" t="s">
        <v>228</v>
      </c>
      <c r="B65" s="444">
        <v>0</v>
      </c>
      <c r="C65" s="444">
        <v>0</v>
      </c>
    </row>
    <row r="66" spans="1:3" ht="22.5" hidden="1">
      <c r="A66" s="455" t="s">
        <v>229</v>
      </c>
      <c r="B66" s="444">
        <v>0</v>
      </c>
      <c r="C66" s="444">
        <v>0</v>
      </c>
    </row>
    <row r="67" spans="1:3" ht="12.75">
      <c r="A67" s="455" t="s">
        <v>919</v>
      </c>
      <c r="B67" s="444">
        <v>-346000</v>
      </c>
      <c r="C67" s="444">
        <v>0</v>
      </c>
    </row>
    <row r="68" spans="1:3" ht="12.75">
      <c r="A68" s="455"/>
      <c r="B68" s="158"/>
      <c r="C68" s="158"/>
    </row>
    <row r="69" spans="1:3" ht="12.75">
      <c r="A69" s="82" t="s">
        <v>151</v>
      </c>
      <c r="B69" s="158">
        <f>SUM(B70:B74)</f>
        <v>14886</v>
      </c>
      <c r="C69" s="158">
        <f>SUM(C70:C74)</f>
        <v>7731</v>
      </c>
    </row>
    <row r="70" spans="1:3" ht="12.75" hidden="1">
      <c r="A70" s="455" t="s">
        <v>557</v>
      </c>
      <c r="B70" s="444">
        <v>0</v>
      </c>
      <c r="C70" s="444">
        <v>0</v>
      </c>
    </row>
    <row r="71" spans="1:3" ht="12.75" hidden="1">
      <c r="A71" s="455" t="s">
        <v>573</v>
      </c>
      <c r="B71" s="444">
        <v>0</v>
      </c>
      <c r="C71" s="444">
        <v>0</v>
      </c>
    </row>
    <row r="72" spans="1:3" ht="12.75" hidden="1">
      <c r="A72" s="455" t="s">
        <v>648</v>
      </c>
      <c r="B72" s="444">
        <v>0</v>
      </c>
      <c r="C72" s="444">
        <v>0</v>
      </c>
    </row>
    <row r="73" spans="1:3" ht="12.75" hidden="1">
      <c r="A73" s="455" t="s">
        <v>582</v>
      </c>
      <c r="B73" s="444">
        <v>0</v>
      </c>
      <c r="C73" s="444">
        <v>0</v>
      </c>
    </row>
    <row r="74" spans="1:3" ht="12.75">
      <c r="A74" s="76" t="s">
        <v>844</v>
      </c>
      <c r="B74" s="444">
        <v>14886</v>
      </c>
      <c r="C74" s="444">
        <v>7731</v>
      </c>
    </row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4.140625" style="0" customWidth="1"/>
    <col min="7" max="7" width="12.57421875" style="0" customWidth="1"/>
    <col min="8" max="8" width="37.7109375" style="0" customWidth="1"/>
  </cols>
  <sheetData>
    <row r="1" ht="13.5" thickBot="1"/>
    <row r="2" spans="1:8" ht="13.5" thickBot="1">
      <c r="A2" s="703" t="s">
        <v>942</v>
      </c>
      <c r="B2" s="781" t="s">
        <v>943</v>
      </c>
      <c r="C2" s="782"/>
      <c r="D2" s="783" t="s">
        <v>944</v>
      </c>
      <c r="E2" s="784"/>
      <c r="F2" s="783" t="s">
        <v>945</v>
      </c>
      <c r="G2" s="784"/>
      <c r="H2" s="704" t="s">
        <v>946</v>
      </c>
    </row>
    <row r="3" spans="1:8" ht="81" customHeight="1" thickBot="1">
      <c r="A3" s="785" t="s">
        <v>947</v>
      </c>
      <c r="B3" s="788" t="s">
        <v>948</v>
      </c>
      <c r="C3" s="789"/>
      <c r="D3" s="779" t="s">
        <v>949</v>
      </c>
      <c r="E3" s="780"/>
      <c r="F3" s="794">
        <v>0.155</v>
      </c>
      <c r="G3" s="795"/>
      <c r="H3" s="705" t="s">
        <v>950</v>
      </c>
    </row>
    <row r="4" spans="1:8" ht="19.5" customHeight="1" thickBot="1">
      <c r="A4" s="786"/>
      <c r="B4" s="790"/>
      <c r="C4" s="791"/>
      <c r="D4" s="779"/>
      <c r="E4" s="780"/>
      <c r="F4" s="779"/>
      <c r="G4" s="780"/>
      <c r="H4" s="706"/>
    </row>
    <row r="5" spans="1:8" ht="91.5" customHeight="1" thickBot="1">
      <c r="A5" s="787"/>
      <c r="B5" s="792"/>
      <c r="C5" s="793"/>
      <c r="D5" s="779" t="s">
        <v>951</v>
      </c>
      <c r="E5" s="780"/>
      <c r="F5" s="779" t="s">
        <v>952</v>
      </c>
      <c r="G5" s="780"/>
      <c r="H5" s="706" t="s">
        <v>953</v>
      </c>
    </row>
  </sheetData>
  <sheetProtection/>
  <mergeCells count="11">
    <mergeCell ref="A3:A5"/>
    <mergeCell ref="B3:C5"/>
    <mergeCell ref="D3:E3"/>
    <mergeCell ref="F3:G3"/>
    <mergeCell ref="D4:E4"/>
    <mergeCell ref="F4:G4"/>
    <mergeCell ref="D5:E5"/>
    <mergeCell ref="F5:G5"/>
    <mergeCell ref="B2:C2"/>
    <mergeCell ref="D2:E2"/>
    <mergeCell ref="F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H20"/>
  <sheetViews>
    <sheetView zoomScaleSheetLayoutView="100" zoomScalePageLayoutView="0" workbookViewId="0" topLeftCell="A1">
      <selection activeCell="B2" sqref="B2:E16"/>
    </sheetView>
  </sheetViews>
  <sheetFormatPr defaultColWidth="9.28125" defaultRowHeight="12.75"/>
  <cols>
    <col min="1" max="1" width="5.00390625" style="20" customWidth="1"/>
    <col min="2" max="2" width="61.7109375" style="20" customWidth="1"/>
    <col min="3" max="3" width="10.00390625" style="20" hidden="1" customWidth="1"/>
    <col min="4" max="5" width="26.00390625" style="20" customWidth="1"/>
    <col min="6" max="6" width="9.28125" style="20" customWidth="1"/>
    <col min="7" max="7" width="12.28125" style="20" bestFit="1" customWidth="1"/>
    <col min="8" max="16384" width="9.28125" style="20" customWidth="1"/>
  </cols>
  <sheetData>
    <row r="1" spans="2:4" s="27" customFormat="1" ht="25.5" customHeight="1">
      <c r="B1" s="239"/>
      <c r="C1" s="239"/>
      <c r="D1" s="239"/>
    </row>
    <row r="2" spans="2:5" s="400" customFormat="1" ht="12.75">
      <c r="B2" s="230"/>
      <c r="C2" s="230" t="s">
        <v>262</v>
      </c>
      <c r="D2" s="230" t="str">
        <f>CONCATENATE("za okres ",'Dane podstawowe'!$B$7)</f>
        <v>za okres 01.01.2022 - 31.12.2022</v>
      </c>
      <c r="E2" s="230" t="str">
        <f>CONCATENATE("za okres ",'Dane podstawowe'!$B$12)</f>
        <v>za okres 01.01.2021 - 31.12.2021</v>
      </c>
    </row>
    <row r="3" spans="2:5" s="401" customFormat="1" ht="14.25">
      <c r="B3" s="224" t="s">
        <v>249</v>
      </c>
      <c r="C3" s="408"/>
      <c r="D3" s="408">
        <f>RZiS!E26</f>
        <v>2130683</v>
      </c>
      <c r="E3" s="408">
        <f>RZiS!F26</f>
        <v>-1359868</v>
      </c>
    </row>
    <row r="4" spans="2:5" s="401" customFormat="1" ht="14.25">
      <c r="B4" s="224" t="s">
        <v>680</v>
      </c>
      <c r="C4" s="408"/>
      <c r="D4" s="408"/>
      <c r="E4" s="408"/>
    </row>
    <row r="5" spans="2:8" s="401" customFormat="1" ht="21">
      <c r="B5" s="224" t="s">
        <v>685</v>
      </c>
      <c r="C5" s="408"/>
      <c r="D5" s="408">
        <f>SUM(D6:D9)</f>
        <v>0</v>
      </c>
      <c r="E5" s="408">
        <f>SUM(E6:E9)</f>
        <v>0</v>
      </c>
      <c r="G5" s="536"/>
      <c r="H5" s="536"/>
    </row>
    <row r="6" spans="2:8" s="44" customFormat="1" ht="15" hidden="1">
      <c r="B6" s="223" t="s">
        <v>681</v>
      </c>
      <c r="C6" s="408"/>
      <c r="D6" s="405">
        <v>0</v>
      </c>
      <c r="E6" s="405">
        <v>0</v>
      </c>
      <c r="G6" s="536"/>
      <c r="H6" s="536"/>
    </row>
    <row r="7" spans="2:8" s="44" customFormat="1" ht="15" hidden="1">
      <c r="B7" s="223" t="s">
        <v>682</v>
      </c>
      <c r="C7" s="408"/>
      <c r="D7" s="407">
        <v>0</v>
      </c>
      <c r="E7" s="407">
        <v>0</v>
      </c>
      <c r="G7" s="536"/>
      <c r="H7" s="536"/>
    </row>
    <row r="8" spans="2:8" s="400" customFormat="1" ht="12.75" hidden="1">
      <c r="B8" s="223" t="s">
        <v>683</v>
      </c>
      <c r="C8" s="405"/>
      <c r="D8" s="405">
        <v>0</v>
      </c>
      <c r="E8" s="405">
        <v>0</v>
      </c>
      <c r="G8" s="536"/>
      <c r="H8" s="536"/>
    </row>
    <row r="9" spans="2:8" s="400" customFormat="1" ht="22.5" hidden="1">
      <c r="B9" s="223" t="s">
        <v>684</v>
      </c>
      <c r="C9" s="408"/>
      <c r="D9" s="405">
        <v>0</v>
      </c>
      <c r="E9" s="405">
        <v>0</v>
      </c>
      <c r="G9" s="536"/>
      <c r="H9" s="536"/>
    </row>
    <row r="10" spans="2:8" s="400" customFormat="1" ht="21">
      <c r="B10" s="224" t="s">
        <v>686</v>
      </c>
      <c r="C10" s="408"/>
      <c r="D10" s="408">
        <f>SUM(D11:D12)</f>
        <v>0</v>
      </c>
      <c r="E10" s="408">
        <f>SUM(E11:E12)</f>
        <v>0</v>
      </c>
      <c r="G10" s="536"/>
      <c r="H10" s="536"/>
    </row>
    <row r="11" spans="2:8" s="44" customFormat="1" ht="15" hidden="1">
      <c r="B11" s="223" t="s">
        <v>687</v>
      </c>
      <c r="C11" s="408"/>
      <c r="D11" s="405">
        <v>0</v>
      </c>
      <c r="E11" s="405">
        <v>0</v>
      </c>
      <c r="G11" s="536"/>
      <c r="H11" s="536"/>
    </row>
    <row r="12" spans="2:8" s="44" customFormat="1" ht="15" hidden="1">
      <c r="B12" s="223" t="s">
        <v>682</v>
      </c>
      <c r="C12" s="408"/>
      <c r="D12" s="405">
        <v>0</v>
      </c>
      <c r="E12" s="405">
        <v>0</v>
      </c>
      <c r="G12" s="536"/>
      <c r="H12" s="536"/>
    </row>
    <row r="13" spans="2:5" s="44" customFormat="1" ht="22.5" hidden="1">
      <c r="B13" s="223" t="s">
        <v>513</v>
      </c>
      <c r="C13" s="407"/>
      <c r="D13" s="407">
        <f>SUM(D14:D15)</f>
        <v>0</v>
      </c>
      <c r="E13" s="407">
        <f>SUM(E14:E15)</f>
        <v>0</v>
      </c>
    </row>
    <row r="14" spans="2:5" s="402" customFormat="1" ht="12.75" hidden="1">
      <c r="B14" s="223" t="s">
        <v>509</v>
      </c>
      <c r="C14" s="407"/>
      <c r="D14" s="407">
        <v>0</v>
      </c>
      <c r="E14" s="407">
        <v>0</v>
      </c>
    </row>
    <row r="15" spans="2:5" s="27" customFormat="1" ht="16.5" customHeight="1" hidden="1">
      <c r="B15" s="223" t="s">
        <v>508</v>
      </c>
      <c r="C15" s="407"/>
      <c r="D15" s="407">
        <v>0</v>
      </c>
      <c r="E15" s="407">
        <v>0</v>
      </c>
    </row>
    <row r="16" spans="2:5" s="27" customFormat="1" ht="16.5" customHeight="1">
      <c r="B16" s="224" t="s">
        <v>688</v>
      </c>
      <c r="C16" s="409"/>
      <c r="D16" s="539">
        <f>D10+D5+D3</f>
        <v>2130683</v>
      </c>
      <c r="E16" s="539">
        <f>E10+E5+E3</f>
        <v>-1359868</v>
      </c>
    </row>
    <row r="17" spans="2:5" s="27" customFormat="1" ht="16.5" customHeight="1">
      <c r="B17" s="25"/>
      <c r="C17" s="30"/>
      <c r="D17" s="26"/>
      <c r="E17" s="26"/>
    </row>
    <row r="18" spans="2:5" s="27" customFormat="1" ht="16.5" customHeight="1">
      <c r="B18" s="33"/>
      <c r="C18" s="32"/>
      <c r="D18" s="26"/>
      <c r="E18" s="26"/>
    </row>
    <row r="19" spans="2:5" s="27" customFormat="1" ht="16.5" customHeight="1">
      <c r="B19" s="35"/>
      <c r="C19" s="213"/>
      <c r="D19" s="26"/>
      <c r="E19" s="26"/>
    </row>
    <row r="20" spans="2:5" s="27" customFormat="1" ht="16.5" customHeight="1">
      <c r="B20" s="35"/>
      <c r="C20" s="213"/>
      <c r="D20" s="26"/>
      <c r="E20" s="26"/>
    </row>
  </sheetData>
  <sheetProtection/>
  <printOptions/>
  <pageMargins left="0.75" right="0.75" top="1" bottom="1" header="0.5" footer="0.5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I35"/>
  <sheetViews>
    <sheetView showGridLines="0" view="pageBreakPreview" zoomScaleNormal="75" zoomScaleSheetLayoutView="100" zoomScalePageLayoutView="0" workbookViewId="0" topLeftCell="A1">
      <selection activeCell="C9" sqref="C9"/>
    </sheetView>
  </sheetViews>
  <sheetFormatPr defaultColWidth="9.28125" defaultRowHeight="12.75"/>
  <cols>
    <col min="1" max="1" width="3.57421875" style="20" customWidth="1"/>
    <col min="2" max="2" width="59.00390625" style="20" customWidth="1"/>
    <col min="3" max="3" width="9.28125" style="20" customWidth="1"/>
    <col min="4" max="5" width="26.00390625" style="20" customWidth="1"/>
    <col min="6" max="8" width="9.28125" style="20" customWidth="1"/>
    <col min="9" max="9" width="13.7109375" style="20" customWidth="1"/>
    <col min="10" max="16384" width="9.28125" style="20" customWidth="1"/>
  </cols>
  <sheetData>
    <row r="1" spans="2:5" s="27" customFormat="1" ht="25.5" customHeight="1">
      <c r="B1" s="239" t="s">
        <v>364</v>
      </c>
      <c r="C1" s="239"/>
      <c r="D1" s="239"/>
      <c r="E1" s="239"/>
    </row>
    <row r="2" spans="2:5" s="21" customFormat="1" ht="12.75">
      <c r="B2" s="230"/>
      <c r="C2" s="230" t="s">
        <v>365</v>
      </c>
      <c r="D2" s="585" t="s">
        <v>882</v>
      </c>
      <c r="E2" s="585" t="s">
        <v>790</v>
      </c>
    </row>
    <row r="3" spans="2:5" s="51" customFormat="1" ht="14.25">
      <c r="B3" s="236" t="s">
        <v>25</v>
      </c>
      <c r="C3" s="231"/>
      <c r="D3" s="404">
        <f>SUM(D4:D13)</f>
        <v>19982814</v>
      </c>
      <c r="E3" s="404">
        <f>SUM(E4:E13)</f>
        <v>17861483</v>
      </c>
    </row>
    <row r="4" spans="2:5" s="23" customFormat="1" ht="15">
      <c r="B4" s="223" t="s">
        <v>362</v>
      </c>
      <c r="C4" s="231" t="s">
        <v>538</v>
      </c>
      <c r="D4" s="407">
        <v>438601</v>
      </c>
      <c r="E4" s="407">
        <v>471318</v>
      </c>
    </row>
    <row r="5" spans="2:5" s="24" customFormat="1" ht="12.75">
      <c r="B5" s="223" t="s">
        <v>361</v>
      </c>
      <c r="C5" s="231" t="s">
        <v>541</v>
      </c>
      <c r="D5" s="405">
        <v>7427499</v>
      </c>
      <c r="E5" s="405">
        <v>6663499</v>
      </c>
    </row>
    <row r="6" spans="2:5" s="24" customFormat="1" ht="12.75">
      <c r="B6" s="223" t="s">
        <v>656</v>
      </c>
      <c r="C6" s="231" t="s">
        <v>542</v>
      </c>
      <c r="D6" s="405">
        <v>871452</v>
      </c>
      <c r="E6" s="405">
        <v>890939</v>
      </c>
    </row>
    <row r="7" spans="2:5" s="24" customFormat="1" ht="12.75" hidden="1">
      <c r="B7" s="223" t="s">
        <v>245</v>
      </c>
      <c r="C7" s="231"/>
      <c r="D7" s="405"/>
      <c r="E7" s="405"/>
    </row>
    <row r="8" spans="2:5" s="24" customFormat="1" ht="12.75">
      <c r="B8" s="223" t="s">
        <v>425</v>
      </c>
      <c r="C8" s="231" t="s">
        <v>570</v>
      </c>
      <c r="D8" s="405">
        <f>10596752-603261</f>
        <v>9993491</v>
      </c>
      <c r="E8" s="405">
        <v>9147563</v>
      </c>
    </row>
    <row r="9" spans="2:5" s="24" customFormat="1" ht="12.75">
      <c r="B9" s="223" t="s">
        <v>931</v>
      </c>
      <c r="C9" s="231" t="s">
        <v>558</v>
      </c>
      <c r="D9" s="405">
        <v>603261</v>
      </c>
      <c r="E9" s="405">
        <v>0</v>
      </c>
    </row>
    <row r="10" spans="2:5" s="23" customFormat="1" ht="15">
      <c r="B10" s="223" t="s">
        <v>579</v>
      </c>
      <c r="C10" s="231" t="s">
        <v>558</v>
      </c>
      <c r="D10" s="407">
        <v>0</v>
      </c>
      <c r="E10" s="407">
        <v>212778</v>
      </c>
    </row>
    <row r="11" spans="2:5" s="23" customFormat="1" ht="15">
      <c r="B11" s="223" t="s">
        <v>34</v>
      </c>
      <c r="C11" s="231"/>
      <c r="D11" s="407">
        <v>40680</v>
      </c>
      <c r="E11" s="407">
        <v>40680</v>
      </c>
    </row>
    <row r="12" spans="2:5" s="24" customFormat="1" ht="12.75">
      <c r="B12" s="223" t="s">
        <v>184</v>
      </c>
      <c r="C12" s="231" t="s">
        <v>473</v>
      </c>
      <c r="D12" s="405">
        <v>607830</v>
      </c>
      <c r="E12" s="405">
        <v>434706</v>
      </c>
    </row>
    <row r="13" spans="2:5" s="24" customFormat="1" ht="12.75" hidden="1">
      <c r="B13" s="223" t="s">
        <v>426</v>
      </c>
      <c r="C13" s="231"/>
      <c r="D13" s="405">
        <v>0</v>
      </c>
      <c r="E13" s="405">
        <v>0</v>
      </c>
    </row>
    <row r="14" spans="2:5" s="24" customFormat="1" ht="12.75">
      <c r="B14" s="426" t="s">
        <v>26</v>
      </c>
      <c r="C14" s="231"/>
      <c r="D14" s="404">
        <f>SUM(D15:D23)</f>
        <v>4597577</v>
      </c>
      <c r="E14" s="404">
        <f>SUM(E15:E23)</f>
        <v>4218671</v>
      </c>
    </row>
    <row r="15" spans="2:5" s="22" customFormat="1" ht="14.25" hidden="1">
      <c r="B15" s="223" t="s">
        <v>308</v>
      </c>
      <c r="C15" s="231"/>
      <c r="D15" s="407">
        <v>0</v>
      </c>
      <c r="E15" s="407">
        <v>0</v>
      </c>
    </row>
    <row r="16" spans="2:9" s="24" customFormat="1" ht="12.75">
      <c r="B16" s="223" t="s">
        <v>185</v>
      </c>
      <c r="C16" s="231" t="s">
        <v>569</v>
      </c>
      <c r="D16" s="405">
        <v>3865585</v>
      </c>
      <c r="E16" s="405">
        <v>3274325</v>
      </c>
      <c r="H16" s="663">
        <f>D16-E16</f>
        <v>591260</v>
      </c>
      <c r="I16" s="663"/>
    </row>
    <row r="17" spans="2:5" s="24" customFormat="1" ht="12.75" hidden="1">
      <c r="B17" s="223" t="s">
        <v>258</v>
      </c>
      <c r="C17" s="231"/>
      <c r="D17" s="405"/>
      <c r="E17" s="405"/>
    </row>
    <row r="18" spans="2:5" s="24" customFormat="1" ht="12.75">
      <c r="B18" s="223" t="s">
        <v>427</v>
      </c>
      <c r="C18" s="231" t="s">
        <v>438</v>
      </c>
      <c r="D18" s="405">
        <f>823+168408</f>
        <v>169231</v>
      </c>
      <c r="E18" s="405">
        <f>92817+75548</f>
        <v>168365</v>
      </c>
    </row>
    <row r="19" spans="2:5" s="24" customFormat="1" ht="12.75" hidden="1">
      <c r="B19" s="223" t="s">
        <v>182</v>
      </c>
      <c r="C19" s="231"/>
      <c r="D19" s="405"/>
      <c r="E19" s="405"/>
    </row>
    <row r="20" spans="2:5" s="22" customFormat="1" ht="14.25" hidden="1">
      <c r="B20" s="223" t="s">
        <v>186</v>
      </c>
      <c r="C20" s="231"/>
      <c r="D20" s="407"/>
      <c r="E20" s="407"/>
    </row>
    <row r="21" spans="2:5" s="24" customFormat="1" ht="12.75">
      <c r="B21" s="223" t="s">
        <v>580</v>
      </c>
      <c r="C21" s="231" t="s">
        <v>558</v>
      </c>
      <c r="D21" s="407">
        <v>384350</v>
      </c>
      <c r="E21" s="407">
        <v>608060</v>
      </c>
    </row>
    <row r="22" spans="2:5" s="24" customFormat="1" ht="12.75" hidden="1">
      <c r="B22" s="223" t="s">
        <v>183</v>
      </c>
      <c r="C22" s="231" t="s">
        <v>571</v>
      </c>
      <c r="D22" s="405"/>
      <c r="E22" s="405">
        <v>0</v>
      </c>
    </row>
    <row r="23" spans="2:5" s="24" customFormat="1" ht="12.75">
      <c r="B23" s="223" t="s">
        <v>187</v>
      </c>
      <c r="C23" s="231" t="s">
        <v>571</v>
      </c>
      <c r="D23" s="405">
        <v>178411</v>
      </c>
      <c r="E23" s="405">
        <v>167921</v>
      </c>
    </row>
    <row r="24" spans="2:5" s="24" customFormat="1" ht="12.75" hidden="1">
      <c r="B24" s="469" t="s">
        <v>259</v>
      </c>
      <c r="C24" s="231"/>
      <c r="D24" s="407">
        <v>0</v>
      </c>
      <c r="E24" s="407"/>
    </row>
    <row r="25" spans="2:5" s="21" customFormat="1" ht="12.75">
      <c r="B25" s="236" t="s">
        <v>188</v>
      </c>
      <c r="C25" s="238"/>
      <c r="D25" s="404">
        <f>SUM(D3,D14)</f>
        <v>24580391</v>
      </c>
      <c r="E25" s="404">
        <f>SUM(E3,E14)</f>
        <v>22080154</v>
      </c>
    </row>
    <row r="26" spans="2:5" s="27" customFormat="1" ht="11.25" customHeight="1">
      <c r="B26" s="25"/>
      <c r="C26" s="30"/>
      <c r="D26" s="29"/>
      <c r="E26" s="29"/>
    </row>
    <row r="27" spans="2:5" s="27" customFormat="1" ht="11.25" customHeight="1">
      <c r="B27" s="25"/>
      <c r="C27" s="30"/>
      <c r="D27" s="29"/>
      <c r="E27" s="29"/>
    </row>
    <row r="28" spans="2:5" s="27" customFormat="1" ht="11.25" customHeight="1">
      <c r="B28" s="25"/>
      <c r="C28" s="30"/>
      <c r="D28" s="31"/>
      <c r="E28" s="31"/>
    </row>
    <row r="29" spans="2:5" s="27" customFormat="1" ht="16.5" customHeight="1">
      <c r="B29" s="25"/>
      <c r="C29" s="30"/>
      <c r="D29" s="26"/>
      <c r="E29" s="26"/>
    </row>
    <row r="30" spans="2:5" s="27" customFormat="1" ht="16.5" customHeight="1">
      <c r="B30" s="25"/>
      <c r="C30" s="30"/>
      <c r="D30" s="26"/>
      <c r="E30" s="26"/>
    </row>
    <row r="31" spans="2:5" s="27" customFormat="1" ht="16.5" customHeight="1">
      <c r="B31" s="33"/>
      <c r="C31" s="32"/>
      <c r="D31" s="26"/>
      <c r="E31" s="26"/>
    </row>
    <row r="32" spans="2:5" s="27" customFormat="1" ht="16.5" customHeight="1">
      <c r="B32" s="25"/>
      <c r="C32" s="30"/>
      <c r="D32" s="26"/>
      <c r="E32" s="26"/>
    </row>
    <row r="33" spans="2:5" s="27" customFormat="1" ht="16.5" customHeight="1">
      <c r="B33" s="33"/>
      <c r="C33" s="32"/>
      <c r="D33" s="26"/>
      <c r="E33" s="26"/>
    </row>
    <row r="34" spans="2:5" s="27" customFormat="1" ht="16.5" customHeight="1">
      <c r="B34" s="35"/>
      <c r="C34" s="213"/>
      <c r="D34" s="26"/>
      <c r="E34" s="26"/>
    </row>
    <row r="35" spans="2:5" s="27" customFormat="1" ht="16.5" customHeight="1">
      <c r="B35" s="35"/>
      <c r="C35" s="213"/>
      <c r="D35" s="26"/>
      <c r="E35" s="26"/>
    </row>
  </sheetData>
  <sheetProtection/>
  <hyperlinks>
    <hyperlink ref="B1" location="'Spis treści'!A1" display="'Spis treści'!A1"/>
  </hyperlinks>
  <printOptions/>
  <pageMargins left="0.75" right="0.75" top="1" bottom="1" header="0.5" footer="0.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I34"/>
  <sheetViews>
    <sheetView showGridLines="0" view="pageBreakPreview" zoomScale="90" zoomScaleNormal="75" zoomScaleSheetLayoutView="90" zoomScalePageLayoutView="0" workbookViewId="0" topLeftCell="A1">
      <selection activeCell="B2" sqref="B2:E29"/>
    </sheetView>
  </sheetViews>
  <sheetFormatPr defaultColWidth="9.28125" defaultRowHeight="12.75"/>
  <cols>
    <col min="1" max="1" width="3.28125" style="36" customWidth="1"/>
    <col min="2" max="2" width="59.00390625" style="36" customWidth="1"/>
    <col min="3" max="3" width="7.57421875" style="36" customWidth="1"/>
    <col min="4" max="4" width="16.7109375" style="36" bestFit="1" customWidth="1"/>
    <col min="5" max="5" width="16.7109375" style="36" customWidth="1"/>
    <col min="6" max="7" width="9.28125" style="36" customWidth="1"/>
    <col min="8" max="8" width="10.7109375" style="36" customWidth="1"/>
    <col min="9" max="9" width="9.28125" style="36" customWidth="1"/>
    <col min="10" max="16384" width="9.28125" style="36" customWidth="1"/>
  </cols>
  <sheetData>
    <row r="1" s="42" customFormat="1" ht="16.5" customHeight="1">
      <c r="B1" s="239" t="s">
        <v>364</v>
      </c>
    </row>
    <row r="2" spans="2:5" s="37" customFormat="1" ht="24" customHeight="1">
      <c r="B2" s="230" t="s">
        <v>96</v>
      </c>
      <c r="C2" s="230" t="s">
        <v>262</v>
      </c>
      <c r="D2" s="585" t="str">
        <f>Aktywa!D2</f>
        <v>stan na 31.12.2022r.</v>
      </c>
      <c r="E2" s="585" t="str">
        <f>Aktywa!E2</f>
        <v>stan na 31.12.2021r.</v>
      </c>
    </row>
    <row r="3" spans="2:5" s="40" customFormat="1" ht="14.25">
      <c r="B3" s="426" t="s">
        <v>173</v>
      </c>
      <c r="C3" s="240"/>
      <c r="D3" s="404">
        <f>SUM(D4:D10)</f>
        <v>15997008</v>
      </c>
      <c r="E3" s="404">
        <f>SUM(E4:E10)</f>
        <v>13851439</v>
      </c>
    </row>
    <row r="4" spans="2:5" s="39" customFormat="1" ht="15">
      <c r="B4" s="223" t="s">
        <v>196</v>
      </c>
      <c r="C4" s="231" t="s">
        <v>559</v>
      </c>
      <c r="D4" s="407">
        <v>248578</v>
      </c>
      <c r="E4" s="407">
        <v>248578</v>
      </c>
    </row>
    <row r="5" spans="2:5" s="39" customFormat="1" ht="15">
      <c r="B5" s="223" t="s">
        <v>510</v>
      </c>
      <c r="C5" s="231" t="s">
        <v>439</v>
      </c>
      <c r="D5" s="405">
        <v>4526727</v>
      </c>
      <c r="E5" s="405">
        <v>4526727</v>
      </c>
    </row>
    <row r="6" spans="2:5" s="38" customFormat="1" ht="12.75" hidden="1">
      <c r="B6" s="223" t="s">
        <v>428</v>
      </c>
      <c r="C6" s="231"/>
      <c r="D6" s="405"/>
      <c r="E6" s="405"/>
    </row>
    <row r="7" spans="2:5" s="38" customFormat="1" ht="12.75">
      <c r="B7" s="223" t="s">
        <v>838</v>
      </c>
      <c r="C7" s="231" t="s">
        <v>439</v>
      </c>
      <c r="D7" s="405">
        <f>E7+14886</f>
        <v>6380426</v>
      </c>
      <c r="E7" s="405">
        <v>6365540</v>
      </c>
    </row>
    <row r="8" spans="2:5" s="38" customFormat="1" ht="12.75" hidden="1">
      <c r="B8" s="223" t="s">
        <v>679</v>
      </c>
      <c r="C8" s="231" t="s">
        <v>511</v>
      </c>
      <c r="D8" s="405"/>
      <c r="E8" s="405"/>
    </row>
    <row r="9" spans="2:5" s="39" customFormat="1" ht="15">
      <c r="B9" s="223" t="s">
        <v>837</v>
      </c>
      <c r="C9" s="231"/>
      <c r="D9" s="407">
        <f>2710594+2130683</f>
        <v>4841277</v>
      </c>
      <c r="E9" s="407">
        <v>2710594</v>
      </c>
    </row>
    <row r="10" spans="2:9" s="38" customFormat="1" ht="15" hidden="1">
      <c r="B10" s="223" t="s">
        <v>429</v>
      </c>
      <c r="C10" s="231"/>
      <c r="D10" s="405"/>
      <c r="E10" s="405"/>
      <c r="H10" s="39"/>
      <c r="I10" s="39"/>
    </row>
    <row r="11" spans="2:9" s="38" customFormat="1" ht="15">
      <c r="B11" s="426" t="s">
        <v>260</v>
      </c>
      <c r="C11" s="240"/>
      <c r="D11" s="404">
        <f>SUM(D12:D18)</f>
        <v>1170304</v>
      </c>
      <c r="E11" s="404">
        <f>SUM(E12:E18)</f>
        <v>1223575</v>
      </c>
      <c r="H11" s="39"/>
      <c r="I11" s="39"/>
    </row>
    <row r="12" spans="2:9" s="40" customFormat="1" ht="15" hidden="1">
      <c r="B12" s="223" t="s">
        <v>363</v>
      </c>
      <c r="C12" s="231" t="s">
        <v>511</v>
      </c>
      <c r="D12" s="614">
        <v>0</v>
      </c>
      <c r="E12" s="614">
        <v>0</v>
      </c>
      <c r="H12" s="39"/>
      <c r="I12" s="39"/>
    </row>
    <row r="13" spans="2:9" ht="15">
      <c r="B13" s="223" t="s">
        <v>269</v>
      </c>
      <c r="C13" s="231" t="s">
        <v>548</v>
      </c>
      <c r="D13" s="614">
        <v>511256</v>
      </c>
      <c r="E13" s="614">
        <v>626424</v>
      </c>
      <c r="H13" s="39"/>
      <c r="I13" s="39"/>
    </row>
    <row r="14" spans="2:9" s="38" customFormat="1" ht="15" hidden="1">
      <c r="B14" s="223" t="s">
        <v>490</v>
      </c>
      <c r="C14" s="231"/>
      <c r="D14" s="614"/>
      <c r="E14" s="614"/>
      <c r="H14" s="39"/>
      <c r="I14" s="39"/>
    </row>
    <row r="15" spans="2:9" s="38" customFormat="1" ht="15">
      <c r="B15" s="223" t="s">
        <v>270</v>
      </c>
      <c r="C15" s="231" t="s">
        <v>473</v>
      </c>
      <c r="D15" s="614">
        <v>659048</v>
      </c>
      <c r="E15" s="614">
        <v>597151</v>
      </c>
      <c r="H15" s="626"/>
      <c r="I15" s="39"/>
    </row>
    <row r="16" spans="2:9" s="38" customFormat="1" ht="15" hidden="1">
      <c r="B16" s="223" t="s">
        <v>482</v>
      </c>
      <c r="C16" s="231"/>
      <c r="D16" s="614">
        <v>0</v>
      </c>
      <c r="E16" s="407">
        <v>0</v>
      </c>
      <c r="H16" s="39"/>
      <c r="I16" s="39"/>
    </row>
    <row r="17" spans="2:9" s="40" customFormat="1" ht="15" hidden="1">
      <c r="B17" s="223" t="s">
        <v>198</v>
      </c>
      <c r="C17" s="231"/>
      <c r="D17" s="614">
        <v>0</v>
      </c>
      <c r="E17" s="407">
        <v>0</v>
      </c>
      <c r="H17" s="39"/>
      <c r="I17" s="39"/>
    </row>
    <row r="18" spans="2:9" s="40" customFormat="1" ht="15" hidden="1">
      <c r="B18" s="223" t="s">
        <v>315</v>
      </c>
      <c r="C18" s="231"/>
      <c r="D18" s="614">
        <v>0</v>
      </c>
      <c r="E18" s="407">
        <v>0</v>
      </c>
      <c r="H18" s="39"/>
      <c r="I18" s="39"/>
    </row>
    <row r="19" spans="2:5" s="38" customFormat="1" ht="12.75">
      <c r="B19" s="152" t="s">
        <v>327</v>
      </c>
      <c r="C19" s="240"/>
      <c r="D19" s="404">
        <f>SUM(D20:D28)</f>
        <v>7413079</v>
      </c>
      <c r="E19" s="404">
        <f>SUM(E20:E28)</f>
        <v>7005140</v>
      </c>
    </row>
    <row r="20" spans="2:5" s="38" customFormat="1" ht="12.75">
      <c r="B20" s="223" t="s">
        <v>363</v>
      </c>
      <c r="C20" s="231" t="s">
        <v>511</v>
      </c>
      <c r="D20" s="407">
        <v>1329759</v>
      </c>
      <c r="E20" s="407">
        <v>543501</v>
      </c>
    </row>
    <row r="21" spans="2:5" s="38" customFormat="1" ht="12.75">
      <c r="B21" s="223" t="s">
        <v>269</v>
      </c>
      <c r="C21" s="231" t="s">
        <v>548</v>
      </c>
      <c r="D21" s="407">
        <v>385037</v>
      </c>
      <c r="E21" s="407">
        <v>253079</v>
      </c>
    </row>
    <row r="22" spans="2:5" s="38" customFormat="1" ht="12.75">
      <c r="B22" s="223" t="s">
        <v>199</v>
      </c>
      <c r="C22" s="231" t="s">
        <v>549</v>
      </c>
      <c r="D22" s="405">
        <v>2637374</v>
      </c>
      <c r="E22" s="405">
        <v>1850133</v>
      </c>
    </row>
    <row r="23" spans="2:5" s="38" customFormat="1" ht="12.75" hidden="1">
      <c r="B23" s="360" t="s">
        <v>261</v>
      </c>
      <c r="C23" s="231"/>
      <c r="D23" s="405"/>
      <c r="E23" s="405"/>
    </row>
    <row r="24" spans="2:5" s="38" customFormat="1" ht="16.5" customHeight="1">
      <c r="B24" s="223" t="s">
        <v>305</v>
      </c>
      <c r="C24" s="231" t="s">
        <v>550</v>
      </c>
      <c r="D24" s="405">
        <f>2315991-1</f>
        <v>2315990</v>
      </c>
      <c r="E24" s="405">
        <f>846662+2620958</f>
        <v>3467620</v>
      </c>
    </row>
    <row r="25" spans="2:5" s="38" customFormat="1" ht="12.75">
      <c r="B25" s="223" t="s">
        <v>482</v>
      </c>
      <c r="C25" s="231" t="s">
        <v>169</v>
      </c>
      <c r="D25" s="405">
        <v>163900</v>
      </c>
      <c r="E25" s="405">
        <v>298006</v>
      </c>
    </row>
    <row r="26" spans="2:8" s="38" customFormat="1" ht="12.75">
      <c r="B26" s="223" t="s">
        <v>198</v>
      </c>
      <c r="C26" s="231" t="s">
        <v>551</v>
      </c>
      <c r="D26" s="405">
        <v>487738</v>
      </c>
      <c r="E26" s="405">
        <v>559411</v>
      </c>
      <c r="H26" s="626"/>
    </row>
    <row r="27" spans="2:8" s="38" customFormat="1" ht="12.75">
      <c r="B27" s="223" t="s">
        <v>315</v>
      </c>
      <c r="C27" s="231" t="s">
        <v>552</v>
      </c>
      <c r="D27" s="405">
        <v>93281</v>
      </c>
      <c r="E27" s="405">
        <v>33390</v>
      </c>
      <c r="H27" s="626"/>
    </row>
    <row r="28" spans="2:5" s="38" customFormat="1" ht="12.75" hidden="1">
      <c r="B28" s="120" t="s">
        <v>621</v>
      </c>
      <c r="C28" s="231"/>
      <c r="D28" s="407">
        <v>0</v>
      </c>
      <c r="E28" s="407">
        <v>0</v>
      </c>
    </row>
    <row r="29" spans="2:9" s="37" customFormat="1" ht="12.75">
      <c r="B29" s="236" t="s">
        <v>200</v>
      </c>
      <c r="C29" s="240"/>
      <c r="D29" s="404">
        <f>SUM(D3,D11,D19)</f>
        <v>24580391</v>
      </c>
      <c r="E29" s="404">
        <f>SUM(E3,E11,E19)</f>
        <v>22080154</v>
      </c>
      <c r="G29" s="37" t="s">
        <v>883</v>
      </c>
      <c r="H29" s="671">
        <f>D29-Aktywa!D25</f>
        <v>0</v>
      </c>
      <c r="I29" s="671">
        <f>E29-Aktywa!E25</f>
        <v>0</v>
      </c>
    </row>
    <row r="30" spans="2:5" s="42" customFormat="1" ht="14.25">
      <c r="B30" s="33"/>
      <c r="C30" s="32"/>
      <c r="D30" s="26"/>
      <c r="E30" s="26"/>
    </row>
    <row r="31" spans="2:5" s="42" customFormat="1" ht="12.75">
      <c r="B31" s="25"/>
      <c r="C31" s="30"/>
      <c r="D31" s="26"/>
      <c r="E31" s="26"/>
    </row>
    <row r="32" spans="2:5" s="42" customFormat="1" ht="14.25">
      <c r="B32" s="33"/>
      <c r="C32" s="32"/>
      <c r="D32" s="26"/>
      <c r="E32" s="26"/>
    </row>
    <row r="33" spans="2:5" s="42" customFormat="1" ht="12.75">
      <c r="B33" s="35"/>
      <c r="C33" s="213"/>
      <c r="D33" s="26"/>
      <c r="E33" s="26"/>
    </row>
    <row r="34" spans="2:5" s="42" customFormat="1" ht="12.75">
      <c r="B34" s="35"/>
      <c r="C34" s="213"/>
      <c r="D34" s="26"/>
      <c r="E34" s="26"/>
    </row>
  </sheetData>
  <sheetProtection/>
  <hyperlinks>
    <hyperlink ref="B1" location="'Spis treści'!A1" display="'Spis treści'!A1"/>
  </hyperlinks>
  <printOptions/>
  <pageMargins left="0.7" right="0.7" top="0.75" bottom="0.75" header="0.3" footer="0.3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B1:K29"/>
  <sheetViews>
    <sheetView showGridLines="0" view="pageBreakPreview" zoomScale="90" zoomScaleSheetLayoutView="90" workbookViewId="0" topLeftCell="A1">
      <selection activeCell="B2" sqref="B2:I29"/>
    </sheetView>
  </sheetViews>
  <sheetFormatPr defaultColWidth="9.28125" defaultRowHeight="12.75"/>
  <cols>
    <col min="1" max="1" width="4.57421875" style="34" customWidth="1"/>
    <col min="2" max="2" width="57.28125" style="34" bestFit="1" customWidth="1"/>
    <col min="3" max="3" width="15.00390625" style="34" bestFit="1" customWidth="1"/>
    <col min="4" max="4" width="18.28125" style="34" customWidth="1"/>
    <col min="5" max="5" width="14.57421875" style="34" customWidth="1"/>
    <col min="6" max="6" width="15.421875" style="34" hidden="1" customWidth="1"/>
    <col min="7" max="7" width="17.421875" style="34" bestFit="1" customWidth="1"/>
    <col min="8" max="8" width="15.28125" style="34" hidden="1" customWidth="1"/>
    <col min="9" max="9" width="20.7109375" style="34" bestFit="1" customWidth="1"/>
    <col min="10" max="16384" width="9.28125" style="34" customWidth="1"/>
  </cols>
  <sheetData>
    <row r="1" s="245" customFormat="1" ht="17.25" customHeight="1">
      <c r="B1" s="239" t="s">
        <v>364</v>
      </c>
    </row>
    <row r="2" spans="2:9" s="28" customFormat="1" ht="33.75">
      <c r="B2" s="96"/>
      <c r="C2" s="241" t="s">
        <v>196</v>
      </c>
      <c r="D2" s="242" t="s">
        <v>839</v>
      </c>
      <c r="E2" s="242" t="s">
        <v>838</v>
      </c>
      <c r="F2" s="242" t="s">
        <v>679</v>
      </c>
      <c r="G2" s="242" t="s">
        <v>837</v>
      </c>
      <c r="H2" s="242" t="s">
        <v>429</v>
      </c>
      <c r="I2" s="242" t="s">
        <v>225</v>
      </c>
    </row>
    <row r="3" spans="2:9" ht="15">
      <c r="B3" s="711" t="s">
        <v>903</v>
      </c>
      <c r="C3" s="712"/>
      <c r="D3" s="712"/>
      <c r="E3" s="712"/>
      <c r="F3" s="712"/>
      <c r="G3" s="712"/>
      <c r="H3" s="712"/>
      <c r="I3" s="712"/>
    </row>
    <row r="4" spans="2:9" ht="15">
      <c r="B4" s="243" t="s">
        <v>904</v>
      </c>
      <c r="C4" s="410">
        <f>C29</f>
        <v>248578</v>
      </c>
      <c r="D4" s="410">
        <f>D29</f>
        <v>4526727</v>
      </c>
      <c r="E4" s="410">
        <f>E29</f>
        <v>6365540</v>
      </c>
      <c r="F4" s="410">
        <f>F29</f>
        <v>0</v>
      </c>
      <c r="G4" s="410">
        <f>G29</f>
        <v>2710594</v>
      </c>
      <c r="H4" s="410">
        <v>0</v>
      </c>
      <c r="I4" s="410">
        <f>SUM(C4:H4)</f>
        <v>13851439</v>
      </c>
    </row>
    <row r="5" spans="2:9" s="44" customFormat="1" ht="15" hidden="1">
      <c r="B5" s="244" t="s">
        <v>694</v>
      </c>
      <c r="C5" s="407">
        <v>0</v>
      </c>
      <c r="D5" s="407">
        <v>0</v>
      </c>
      <c r="E5" s="407">
        <v>0</v>
      </c>
      <c r="F5" s="407">
        <v>0</v>
      </c>
      <c r="G5" s="411">
        <v>0</v>
      </c>
      <c r="H5" s="411">
        <v>0</v>
      </c>
      <c r="I5" s="412">
        <f aca="true" t="shared" si="0" ref="I5:I14">SUM(C5:H5)</f>
        <v>0</v>
      </c>
    </row>
    <row r="6" spans="2:9" s="44" customFormat="1" ht="15" hidden="1">
      <c r="B6" s="244" t="s">
        <v>695</v>
      </c>
      <c r="C6" s="407">
        <v>0</v>
      </c>
      <c r="D6" s="407">
        <v>0</v>
      </c>
      <c r="E6" s="407">
        <v>0</v>
      </c>
      <c r="F6" s="407">
        <v>0</v>
      </c>
      <c r="G6" s="411">
        <v>0</v>
      </c>
      <c r="H6" s="411">
        <v>0</v>
      </c>
      <c r="I6" s="412">
        <f t="shared" si="0"/>
        <v>0</v>
      </c>
    </row>
    <row r="7" spans="2:9" ht="15" hidden="1">
      <c r="B7" s="243" t="s">
        <v>263</v>
      </c>
      <c r="C7" s="410">
        <f aca="true" t="shared" si="1" ref="C7:H7">SUM(C4:C6)</f>
        <v>248578</v>
      </c>
      <c r="D7" s="410">
        <f t="shared" si="1"/>
        <v>4526727</v>
      </c>
      <c r="E7" s="410">
        <f t="shared" si="1"/>
        <v>6365540</v>
      </c>
      <c r="F7" s="410">
        <f t="shared" si="1"/>
        <v>0</v>
      </c>
      <c r="G7" s="410">
        <f t="shared" si="1"/>
        <v>2710594</v>
      </c>
      <c r="H7" s="410">
        <f t="shared" si="1"/>
        <v>0</v>
      </c>
      <c r="I7" s="410">
        <f t="shared" si="0"/>
        <v>13851439</v>
      </c>
    </row>
    <row r="8" spans="2:9" ht="15" hidden="1">
      <c r="B8" s="244" t="s">
        <v>271</v>
      </c>
      <c r="C8" s="413">
        <v>0</v>
      </c>
      <c r="D8" s="407">
        <v>0</v>
      </c>
      <c r="E8" s="407">
        <v>0</v>
      </c>
      <c r="F8" s="407">
        <v>0</v>
      </c>
      <c r="G8" s="407">
        <v>0</v>
      </c>
      <c r="H8" s="407">
        <v>0</v>
      </c>
      <c r="I8" s="410"/>
    </row>
    <row r="9" spans="2:9" s="44" customFormat="1" ht="15" hidden="1">
      <c r="B9" s="244" t="s">
        <v>226</v>
      </c>
      <c r="C9" s="407">
        <v>0</v>
      </c>
      <c r="D9" s="407">
        <v>0</v>
      </c>
      <c r="E9" s="407">
        <v>0</v>
      </c>
      <c r="F9" s="407">
        <v>0</v>
      </c>
      <c r="G9" s="411">
        <v>0</v>
      </c>
      <c r="H9" s="411">
        <v>0</v>
      </c>
      <c r="I9" s="412">
        <f t="shared" si="0"/>
        <v>0</v>
      </c>
    </row>
    <row r="10" spans="2:9" ht="15" hidden="1">
      <c r="B10" s="489" t="s">
        <v>97</v>
      </c>
      <c r="C10" s="413">
        <v>0</v>
      </c>
      <c r="D10" s="413">
        <v>0</v>
      </c>
      <c r="E10" s="413">
        <v>0</v>
      </c>
      <c r="F10" s="413">
        <v>0</v>
      </c>
      <c r="G10" s="414">
        <v>0</v>
      </c>
      <c r="H10" s="414">
        <v>0</v>
      </c>
      <c r="I10" s="412">
        <f t="shared" si="0"/>
        <v>0</v>
      </c>
    </row>
    <row r="11" spans="2:9" s="44" customFormat="1" ht="15" hidden="1">
      <c r="B11" s="244" t="s">
        <v>858</v>
      </c>
      <c r="C11" s="413">
        <v>0</v>
      </c>
      <c r="D11" s="407">
        <v>0</v>
      </c>
      <c r="E11" s="407">
        <v>0</v>
      </c>
      <c r="F11" s="407">
        <v>0</v>
      </c>
      <c r="G11" s="411">
        <v>0</v>
      </c>
      <c r="H11" s="412">
        <v>0</v>
      </c>
      <c r="I11" s="412">
        <f>SUM(C11:H11)</f>
        <v>0</v>
      </c>
    </row>
    <row r="12" spans="2:11" s="44" customFormat="1" ht="15">
      <c r="B12" s="489" t="s">
        <v>525</v>
      </c>
      <c r="C12" s="413">
        <v>0</v>
      </c>
      <c r="D12" s="411">
        <v>0</v>
      </c>
      <c r="E12" s="411">
        <v>14886</v>
      </c>
      <c r="F12" s="411">
        <v>0</v>
      </c>
      <c r="G12" s="411">
        <v>0</v>
      </c>
      <c r="H12" s="412">
        <v>0</v>
      </c>
      <c r="I12" s="412">
        <f>SUM(C12:H12)</f>
        <v>14886</v>
      </c>
      <c r="J12" s="487"/>
      <c r="K12" s="488"/>
    </row>
    <row r="13" spans="2:11" s="44" customFormat="1" ht="15">
      <c r="B13" s="489" t="s">
        <v>912</v>
      </c>
      <c r="C13" s="412">
        <v>0</v>
      </c>
      <c r="D13" s="412">
        <v>0</v>
      </c>
      <c r="E13" s="412">
        <v>0</v>
      </c>
      <c r="F13" s="412">
        <v>0</v>
      </c>
      <c r="G13" s="414">
        <v>2130683</v>
      </c>
      <c r="H13" s="414">
        <v>0</v>
      </c>
      <c r="I13" s="412">
        <f>SUM(C13:H13)</f>
        <v>2130683</v>
      </c>
      <c r="J13" s="487"/>
      <c r="K13" s="488"/>
    </row>
    <row r="14" spans="2:9" ht="15" hidden="1">
      <c r="B14" s="244" t="s">
        <v>680</v>
      </c>
      <c r="C14" s="412">
        <v>0</v>
      </c>
      <c r="D14" s="412">
        <v>0</v>
      </c>
      <c r="E14" s="412">
        <v>0</v>
      </c>
      <c r="F14" s="412">
        <v>0</v>
      </c>
      <c r="G14" s="414">
        <v>0</v>
      </c>
      <c r="H14" s="414">
        <v>0</v>
      </c>
      <c r="I14" s="412">
        <f t="shared" si="0"/>
        <v>0</v>
      </c>
    </row>
    <row r="15" spans="2:9" ht="15">
      <c r="B15" s="243" t="s">
        <v>911</v>
      </c>
      <c r="C15" s="410">
        <f aca="true" t="shared" si="2" ref="C15:H15">SUM(C7:C14)</f>
        <v>248578</v>
      </c>
      <c r="D15" s="410">
        <f t="shared" si="2"/>
        <v>4526727</v>
      </c>
      <c r="E15" s="410">
        <f t="shared" si="2"/>
        <v>6380426</v>
      </c>
      <c r="F15" s="410">
        <f t="shared" si="2"/>
        <v>0</v>
      </c>
      <c r="G15" s="410">
        <f t="shared" si="2"/>
        <v>4841277</v>
      </c>
      <c r="H15" s="410">
        <f t="shared" si="2"/>
        <v>0</v>
      </c>
      <c r="I15" s="410">
        <f>SUM(C15:H15)</f>
        <v>15997008</v>
      </c>
    </row>
    <row r="16" spans="2:9" ht="15">
      <c r="B16" s="712" t="s">
        <v>791</v>
      </c>
      <c r="C16" s="712"/>
      <c r="D16" s="712"/>
      <c r="E16" s="712"/>
      <c r="F16" s="712"/>
      <c r="G16" s="712"/>
      <c r="H16" s="712"/>
      <c r="I16" s="712"/>
    </row>
    <row r="17" spans="2:9" ht="15">
      <c r="B17" s="243" t="s">
        <v>792</v>
      </c>
      <c r="C17" s="410">
        <v>248578</v>
      </c>
      <c r="D17" s="410">
        <v>4526727</v>
      </c>
      <c r="E17" s="410">
        <f>6357809</f>
        <v>6357809</v>
      </c>
      <c r="F17" s="410"/>
      <c r="G17" s="410">
        <v>3793159</v>
      </c>
      <c r="H17" s="410">
        <v>0</v>
      </c>
      <c r="I17" s="410">
        <f>SUM(C17:H17)</f>
        <v>14926273</v>
      </c>
    </row>
    <row r="18" spans="2:9" s="44" customFormat="1" ht="15" hidden="1">
      <c r="B18" s="244" t="s">
        <v>694</v>
      </c>
      <c r="C18" s="407">
        <v>0</v>
      </c>
      <c r="D18" s="407">
        <v>0</v>
      </c>
      <c r="E18" s="407">
        <v>0</v>
      </c>
      <c r="F18" s="407"/>
      <c r="G18" s="411">
        <v>0</v>
      </c>
      <c r="H18" s="411">
        <v>0</v>
      </c>
      <c r="I18" s="412">
        <f aca="true" t="shared" si="3" ref="I18:I29">SUM(C18:H18)</f>
        <v>0</v>
      </c>
    </row>
    <row r="19" spans="2:9" s="44" customFormat="1" ht="15" hidden="1">
      <c r="B19" s="244" t="s">
        <v>695</v>
      </c>
      <c r="C19" s="407">
        <v>0</v>
      </c>
      <c r="D19" s="407">
        <v>0</v>
      </c>
      <c r="E19" s="407">
        <v>0</v>
      </c>
      <c r="F19" s="407">
        <v>0</v>
      </c>
      <c r="G19" s="411">
        <v>0</v>
      </c>
      <c r="H19" s="411">
        <v>0</v>
      </c>
      <c r="I19" s="412">
        <f t="shared" si="3"/>
        <v>0</v>
      </c>
    </row>
    <row r="20" spans="2:9" ht="15" hidden="1">
      <c r="B20" s="243" t="s">
        <v>263</v>
      </c>
      <c r="C20" s="410">
        <f aca="true" t="shared" si="4" ref="C20:H20">SUM(C17:C19)</f>
        <v>248578</v>
      </c>
      <c r="D20" s="410">
        <f t="shared" si="4"/>
        <v>4526727</v>
      </c>
      <c r="E20" s="410">
        <f t="shared" si="4"/>
        <v>6357809</v>
      </c>
      <c r="F20" s="410">
        <f t="shared" si="4"/>
        <v>0</v>
      </c>
      <c r="G20" s="410">
        <f t="shared" si="4"/>
        <v>3793159</v>
      </c>
      <c r="H20" s="410">
        <f t="shared" si="4"/>
        <v>0</v>
      </c>
      <c r="I20" s="410">
        <f t="shared" si="3"/>
        <v>14926273</v>
      </c>
    </row>
    <row r="21" spans="2:9" s="44" customFormat="1" ht="15" hidden="1">
      <c r="B21" s="244" t="s">
        <v>696</v>
      </c>
      <c r="C21" s="407">
        <v>0</v>
      </c>
      <c r="D21" s="407"/>
      <c r="E21" s="407">
        <v>0</v>
      </c>
      <c r="F21" s="407">
        <v>0</v>
      </c>
      <c r="G21" s="411">
        <v>0</v>
      </c>
      <c r="H21" s="411">
        <v>0</v>
      </c>
      <c r="I21" s="412">
        <f t="shared" si="3"/>
        <v>0</v>
      </c>
    </row>
    <row r="22" spans="2:9" ht="15" hidden="1">
      <c r="B22" s="244" t="s">
        <v>271</v>
      </c>
      <c r="C22" s="413"/>
      <c r="D22" s="413"/>
      <c r="E22" s="413">
        <v>0</v>
      </c>
      <c r="F22" s="413">
        <v>0</v>
      </c>
      <c r="G22" s="414">
        <v>0</v>
      </c>
      <c r="H22" s="414">
        <v>0</v>
      </c>
      <c r="I22" s="412">
        <f t="shared" si="3"/>
        <v>0</v>
      </c>
    </row>
    <row r="23" spans="2:9" s="44" customFormat="1" ht="15" hidden="1">
      <c r="B23" s="489" t="s">
        <v>697</v>
      </c>
      <c r="C23" s="413">
        <v>0</v>
      </c>
      <c r="D23" s="413">
        <v>0</v>
      </c>
      <c r="E23" s="412">
        <v>0</v>
      </c>
      <c r="F23" s="407">
        <v>0</v>
      </c>
      <c r="G23" s="411">
        <v>0</v>
      </c>
      <c r="H23" s="411">
        <v>0</v>
      </c>
      <c r="I23" s="412">
        <f t="shared" si="3"/>
        <v>0</v>
      </c>
    </row>
    <row r="24" spans="2:11" s="44" customFormat="1" ht="15" hidden="1">
      <c r="B24" s="244" t="s">
        <v>97</v>
      </c>
      <c r="C24" s="413">
        <v>0</v>
      </c>
      <c r="D24" s="413">
        <v>0</v>
      </c>
      <c r="E24" s="413">
        <v>0</v>
      </c>
      <c r="F24" s="413">
        <v>0</v>
      </c>
      <c r="G24" s="414">
        <v>0</v>
      </c>
      <c r="H24" s="414">
        <v>0</v>
      </c>
      <c r="I24" s="412">
        <f t="shared" si="3"/>
        <v>0</v>
      </c>
      <c r="J24" s="487"/>
      <c r="K24" s="488"/>
    </row>
    <row r="25" spans="2:9" ht="15" hidden="1">
      <c r="B25" s="489" t="s">
        <v>272</v>
      </c>
      <c r="C25" s="413">
        <v>0</v>
      </c>
      <c r="D25" s="413">
        <v>0</v>
      </c>
      <c r="E25" s="413">
        <v>0</v>
      </c>
      <c r="F25" s="407">
        <v>0</v>
      </c>
      <c r="G25" s="411">
        <v>0</v>
      </c>
      <c r="H25" s="411">
        <v>0</v>
      </c>
      <c r="I25" s="412">
        <f t="shared" si="3"/>
        <v>0</v>
      </c>
    </row>
    <row r="26" spans="2:9" ht="15">
      <c r="B26" s="244" t="s">
        <v>858</v>
      </c>
      <c r="C26" s="413">
        <v>0</v>
      </c>
      <c r="D26" s="413">
        <v>0</v>
      </c>
      <c r="E26" s="407">
        <v>0</v>
      </c>
      <c r="F26" s="407">
        <v>0</v>
      </c>
      <c r="G26" s="411">
        <v>277303</v>
      </c>
      <c r="H26" s="411">
        <v>0</v>
      </c>
      <c r="I26" s="412">
        <f t="shared" si="3"/>
        <v>277303</v>
      </c>
    </row>
    <row r="27" spans="2:9" ht="15">
      <c r="B27" s="489" t="s">
        <v>525</v>
      </c>
      <c r="C27" s="412">
        <v>0</v>
      </c>
      <c r="D27" s="412">
        <v>0</v>
      </c>
      <c r="E27" s="412">
        <v>7731</v>
      </c>
      <c r="F27" s="412">
        <v>0</v>
      </c>
      <c r="G27" s="414">
        <v>0</v>
      </c>
      <c r="H27" s="414">
        <v>0</v>
      </c>
      <c r="I27" s="412">
        <f t="shared" si="3"/>
        <v>7731</v>
      </c>
    </row>
    <row r="28" spans="2:9" ht="15">
      <c r="B28" s="489" t="s">
        <v>794</v>
      </c>
      <c r="C28" s="412">
        <v>0</v>
      </c>
      <c r="D28" s="412">
        <v>0</v>
      </c>
      <c r="E28" s="412">
        <v>0</v>
      </c>
      <c r="F28" s="412">
        <v>0</v>
      </c>
      <c r="G28" s="412">
        <v>-1359868</v>
      </c>
      <c r="H28" s="412">
        <v>0</v>
      </c>
      <c r="I28" s="412">
        <f t="shared" si="3"/>
        <v>-1359868</v>
      </c>
    </row>
    <row r="29" spans="2:9" ht="15">
      <c r="B29" s="243" t="s">
        <v>793</v>
      </c>
      <c r="C29" s="410">
        <f aca="true" t="shared" si="5" ref="C29:H29">SUM(C20:C28)</f>
        <v>248578</v>
      </c>
      <c r="D29" s="410">
        <f t="shared" si="5"/>
        <v>4526727</v>
      </c>
      <c r="E29" s="410">
        <f t="shared" si="5"/>
        <v>6365540</v>
      </c>
      <c r="F29" s="410">
        <f t="shared" si="5"/>
        <v>0</v>
      </c>
      <c r="G29" s="410">
        <f t="shared" si="5"/>
        <v>2710594</v>
      </c>
      <c r="H29" s="410">
        <f t="shared" si="5"/>
        <v>0</v>
      </c>
      <c r="I29" s="410">
        <f t="shared" si="3"/>
        <v>13851439</v>
      </c>
    </row>
  </sheetData>
  <sheetProtection/>
  <mergeCells count="2">
    <mergeCell ref="B3:I3"/>
    <mergeCell ref="B16:I16"/>
  </mergeCells>
  <hyperlinks>
    <hyperlink ref="B1" location="'Spis treści'!A1" display="'Spis treści'!A1"/>
  </hyperlinks>
  <printOptions/>
  <pageMargins left="0.7" right="0.7" top="0.75" bottom="0.75" header="0.3" footer="0.3"/>
  <pageSetup fitToHeight="1" fitToWidth="1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D67"/>
  <sheetViews>
    <sheetView showGridLines="0" view="pageBreakPreview" zoomScale="90" zoomScaleNormal="75" zoomScaleSheetLayoutView="90" zoomScalePageLayoutView="0" workbookViewId="0" topLeftCell="A19">
      <selection activeCell="B60" sqref="B60"/>
    </sheetView>
  </sheetViews>
  <sheetFormatPr defaultColWidth="9.28125" defaultRowHeight="12.75"/>
  <cols>
    <col min="1" max="1" width="5.28125" style="36" customWidth="1"/>
    <col min="2" max="2" width="74.7109375" style="36" customWidth="1"/>
    <col min="3" max="4" width="22.7109375" style="36" customWidth="1"/>
    <col min="5" max="16384" width="9.28125" style="36" customWidth="1"/>
  </cols>
  <sheetData>
    <row r="1" s="42" customFormat="1" ht="22.5" customHeight="1">
      <c r="B1" s="239" t="s">
        <v>364</v>
      </c>
    </row>
    <row r="2" spans="1:4" s="37" customFormat="1" ht="22.5">
      <c r="A2" s="246"/>
      <c r="B2" s="230"/>
      <c r="C2" s="230" t="str">
        <f>CONCATENATE("za okres ",'Dane podstawowe'!$B$7)</f>
        <v>za okres 01.01.2022 - 31.12.2022</v>
      </c>
      <c r="D2" s="230" t="str">
        <f>CONCATENATE("za okres ",'Dane podstawowe'!$B$12)</f>
        <v>za okres 01.01.2021 - 31.12.2021</v>
      </c>
    </row>
    <row r="3" spans="2:4" s="38" customFormat="1" ht="12.75">
      <c r="B3" s="713" t="s">
        <v>207</v>
      </c>
      <c r="C3" s="714"/>
      <c r="D3" s="715"/>
    </row>
    <row r="4" spans="2:4" s="39" customFormat="1" ht="15">
      <c r="B4" s="415" t="s">
        <v>841</v>
      </c>
      <c r="C4" s="404">
        <v>2130683</v>
      </c>
      <c r="D4" s="404">
        <v>-1359868</v>
      </c>
    </row>
    <row r="5" spans="2:4" s="38" customFormat="1" ht="12.75">
      <c r="B5" s="415" t="s">
        <v>208</v>
      </c>
      <c r="C5" s="406">
        <f>SUM(C6:C17)</f>
        <v>-5176404</v>
      </c>
      <c r="D5" s="406">
        <f>SUM(D6:D17)</f>
        <v>2964216</v>
      </c>
    </row>
    <row r="6" spans="2:4" s="38" customFormat="1" ht="12.75">
      <c r="B6" s="416" t="s">
        <v>840</v>
      </c>
      <c r="C6" s="405">
        <v>-111227</v>
      </c>
      <c r="D6" s="405">
        <v>-25438</v>
      </c>
    </row>
    <row r="7" spans="2:4" s="38" customFormat="1" ht="12.75">
      <c r="B7" s="416" t="s">
        <v>342</v>
      </c>
      <c r="C7" s="405">
        <v>782842</v>
      </c>
      <c r="D7" s="405">
        <v>856101</v>
      </c>
    </row>
    <row r="8" spans="2:4" s="38" customFormat="1" ht="12.75" hidden="1">
      <c r="B8" s="416" t="s">
        <v>209</v>
      </c>
      <c r="C8" s="405"/>
      <c r="D8" s="405">
        <v>0</v>
      </c>
    </row>
    <row r="9" spans="2:4" s="39" customFormat="1" ht="15">
      <c r="B9" s="416" t="s">
        <v>210</v>
      </c>
      <c r="C9" s="407">
        <v>-3595050</v>
      </c>
      <c r="D9" s="407">
        <v>-798255</v>
      </c>
    </row>
    <row r="10" spans="2:4" s="38" customFormat="1" ht="12.75">
      <c r="B10" s="416" t="s">
        <v>211</v>
      </c>
      <c r="C10" s="405">
        <v>-692130</v>
      </c>
      <c r="D10" s="405">
        <v>34491</v>
      </c>
    </row>
    <row r="11" spans="2:4" s="38" customFormat="1" ht="12.75">
      <c r="B11" s="416" t="s">
        <v>212</v>
      </c>
      <c r="C11" s="405">
        <v>-11782</v>
      </c>
      <c r="D11" s="405">
        <v>217662</v>
      </c>
    </row>
    <row r="12" spans="2:4" s="38" customFormat="1" ht="12.75" hidden="1">
      <c r="B12" s="416" t="s">
        <v>603</v>
      </c>
      <c r="C12" s="407"/>
      <c r="D12" s="407"/>
    </row>
    <row r="13" spans="2:4" s="38" customFormat="1" ht="12.75">
      <c r="B13" s="416" t="s">
        <v>604</v>
      </c>
      <c r="C13" s="405">
        <f>-499266-226966</f>
        <v>-726232</v>
      </c>
      <c r="D13" s="405">
        <f>-1425278+165392</f>
        <v>-1259886</v>
      </c>
    </row>
    <row r="14" spans="2:4" s="40" customFormat="1" ht="22.5">
      <c r="B14" s="416" t="s">
        <v>605</v>
      </c>
      <c r="C14" s="407">
        <v>-837711</v>
      </c>
      <c r="D14" s="407">
        <v>3931810</v>
      </c>
    </row>
    <row r="15" spans="2:4" s="38" customFormat="1" ht="12.75" hidden="1">
      <c r="B15" s="416" t="s">
        <v>606</v>
      </c>
      <c r="C15" s="405"/>
      <c r="D15" s="405"/>
    </row>
    <row r="16" spans="2:4" s="38" customFormat="1" ht="12.75">
      <c r="B16" s="416" t="s">
        <v>65</v>
      </c>
      <c r="C16" s="405">
        <v>14886</v>
      </c>
      <c r="D16" s="405">
        <v>7731</v>
      </c>
    </row>
    <row r="17" spans="2:4" s="38" customFormat="1" ht="12.75">
      <c r="B17" s="416" t="s">
        <v>607</v>
      </c>
      <c r="C17" s="407">
        <v>0</v>
      </c>
      <c r="D17" s="407">
        <f>282722+16220-298942</f>
        <v>0</v>
      </c>
    </row>
    <row r="18" spans="2:4" s="38" customFormat="1" ht="12.75">
      <c r="B18" s="417" t="s">
        <v>264</v>
      </c>
      <c r="C18" s="404">
        <f>C4+C5</f>
        <v>-3045721</v>
      </c>
      <c r="D18" s="404">
        <f>D4+D5</f>
        <v>1604348</v>
      </c>
    </row>
    <row r="19" spans="2:4" s="38" customFormat="1" ht="12.75">
      <c r="B19" s="716" t="s">
        <v>214</v>
      </c>
      <c r="C19" s="717"/>
      <c r="D19" s="718"/>
    </row>
    <row r="20" spans="2:4" s="38" customFormat="1" ht="12.75">
      <c r="B20" s="418" t="s">
        <v>223</v>
      </c>
      <c r="C20" s="419">
        <f>SUM(C21:C25)</f>
        <v>4623026</v>
      </c>
      <c r="D20" s="419">
        <f>SUM(D21:D25)</f>
        <v>1454761</v>
      </c>
    </row>
    <row r="21" spans="2:4" s="38" customFormat="1" ht="12.75">
      <c r="B21" s="416" t="s">
        <v>608</v>
      </c>
      <c r="C21" s="405">
        <v>1001</v>
      </c>
      <c r="D21" s="405">
        <v>0</v>
      </c>
    </row>
    <row r="22" spans="2:4" s="38" customFormat="1" ht="12.75" hidden="1">
      <c r="B22" s="416" t="s">
        <v>609</v>
      </c>
      <c r="C22" s="405"/>
      <c r="D22" s="405"/>
    </row>
    <row r="23" spans="2:4" s="38" customFormat="1" ht="12.75">
      <c r="B23" s="416" t="s">
        <v>610</v>
      </c>
      <c r="C23" s="405">
        <v>546524</v>
      </c>
      <c r="D23" s="405">
        <v>90869</v>
      </c>
    </row>
    <row r="24" spans="2:4" s="38" customFormat="1" ht="12.75">
      <c r="B24" s="416" t="s">
        <v>286</v>
      </c>
      <c r="C24" s="407">
        <v>3634932</v>
      </c>
      <c r="D24" s="407">
        <v>811891</v>
      </c>
    </row>
    <row r="25" spans="2:4" s="38" customFormat="1" ht="12.75">
      <c r="B25" s="416" t="s">
        <v>611</v>
      </c>
      <c r="C25" s="405">
        <v>440569</v>
      </c>
      <c r="D25" s="405">
        <v>552001</v>
      </c>
    </row>
    <row r="26" spans="2:4" s="38" customFormat="1" ht="12.75">
      <c r="B26" s="415" t="s">
        <v>224</v>
      </c>
      <c r="C26" s="404">
        <f>SUM(C27:C31)</f>
        <v>1918697</v>
      </c>
      <c r="D26" s="404">
        <f>SUM(D27:D31)</f>
        <v>439142</v>
      </c>
    </row>
    <row r="27" spans="2:4" s="38" customFormat="1" ht="12.75">
      <c r="B27" s="416" t="s">
        <v>612</v>
      </c>
      <c r="C27" s="407">
        <v>992874</v>
      </c>
      <c r="D27" s="407">
        <v>218641</v>
      </c>
    </row>
    <row r="28" spans="2:4" s="41" customFormat="1" ht="12" hidden="1">
      <c r="B28" s="416" t="s">
        <v>613</v>
      </c>
      <c r="C28" s="405"/>
      <c r="D28" s="405">
        <v>0</v>
      </c>
    </row>
    <row r="29" spans="2:4" s="40" customFormat="1" ht="14.25">
      <c r="B29" s="416" t="s">
        <v>614</v>
      </c>
      <c r="C29" s="407">
        <v>720560</v>
      </c>
      <c r="D29" s="407">
        <v>50500</v>
      </c>
    </row>
    <row r="30" spans="2:4" s="40" customFormat="1" ht="14.25">
      <c r="B30" s="416" t="s">
        <v>916</v>
      </c>
      <c r="C30" s="407">
        <v>3263</v>
      </c>
      <c r="D30" s="407">
        <v>0</v>
      </c>
    </row>
    <row r="31" spans="2:4" s="40" customFormat="1" ht="14.25">
      <c r="B31" s="416" t="s">
        <v>615</v>
      </c>
      <c r="C31" s="407">
        <v>202000</v>
      </c>
      <c r="D31" s="407">
        <v>170001</v>
      </c>
    </row>
    <row r="32" spans="2:4" s="38" customFormat="1" ht="12.75">
      <c r="B32" s="417" t="s">
        <v>265</v>
      </c>
      <c r="C32" s="404">
        <f>C20-C26</f>
        <v>2704329</v>
      </c>
      <c r="D32" s="404">
        <f>D20-D26</f>
        <v>1015619</v>
      </c>
    </row>
    <row r="33" spans="2:4" s="37" customFormat="1" ht="12.75">
      <c r="B33" s="716" t="s">
        <v>217</v>
      </c>
      <c r="C33" s="717"/>
      <c r="D33" s="718"/>
    </row>
    <row r="34" spans="2:4" s="43" customFormat="1" ht="12.75">
      <c r="B34" s="418" t="s">
        <v>223</v>
      </c>
      <c r="C34" s="420">
        <f>SUM(C35:C38)</f>
        <v>821258</v>
      </c>
      <c r="D34" s="420">
        <f>SUM(D35:D38)</f>
        <v>0</v>
      </c>
    </row>
    <row r="35" spans="2:4" s="38" customFormat="1" ht="12.75" hidden="1">
      <c r="B35" s="416" t="s">
        <v>616</v>
      </c>
      <c r="C35" s="421">
        <v>0</v>
      </c>
      <c r="D35" s="421">
        <v>0</v>
      </c>
    </row>
    <row r="36" spans="2:4" s="38" customFormat="1" ht="12.75">
      <c r="B36" s="416" t="s">
        <v>617</v>
      </c>
      <c r="C36" s="421">
        <v>821258</v>
      </c>
      <c r="D36" s="421">
        <v>0</v>
      </c>
    </row>
    <row r="37" spans="2:4" s="38" customFormat="1" ht="12.75" hidden="1">
      <c r="B37" s="416" t="s">
        <v>65</v>
      </c>
      <c r="C37" s="421">
        <v>0</v>
      </c>
      <c r="D37" s="421">
        <v>0</v>
      </c>
    </row>
    <row r="38" spans="2:4" s="38" customFormat="1" ht="12.75" hidden="1">
      <c r="B38" s="416" t="s">
        <v>218</v>
      </c>
      <c r="C38" s="421">
        <v>0</v>
      </c>
      <c r="D38" s="421">
        <v>0</v>
      </c>
    </row>
    <row r="39" spans="2:4" s="38" customFormat="1" ht="12.75">
      <c r="B39" s="415" t="s">
        <v>224</v>
      </c>
      <c r="C39" s="422">
        <f>SUM(C40:C48)</f>
        <v>469376</v>
      </c>
      <c r="D39" s="422">
        <f>SUM(D40:D48)</f>
        <v>2650252</v>
      </c>
    </row>
    <row r="40" spans="2:4" s="38" customFormat="1" ht="12.75" hidden="1">
      <c r="B40" s="416" t="s">
        <v>620</v>
      </c>
      <c r="C40" s="421">
        <v>0</v>
      </c>
      <c r="D40" s="421">
        <v>0</v>
      </c>
    </row>
    <row r="41" spans="2:4" s="38" customFormat="1" ht="12.75">
      <c r="B41" s="416" t="s">
        <v>618</v>
      </c>
      <c r="C41" s="421">
        <v>57000</v>
      </c>
      <c r="D41" s="421">
        <v>1507851</v>
      </c>
    </row>
    <row r="42" spans="2:4" s="38" customFormat="1" ht="12.75">
      <c r="B42" s="416" t="s">
        <v>937</v>
      </c>
      <c r="C42" s="423">
        <v>362958</v>
      </c>
      <c r="D42" s="423">
        <v>466897</v>
      </c>
    </row>
    <row r="43" spans="2:4" s="38" customFormat="1" ht="12.75">
      <c r="B43" s="416" t="s">
        <v>619</v>
      </c>
      <c r="C43" s="421">
        <v>49418</v>
      </c>
      <c r="D43" s="421">
        <v>28463</v>
      </c>
    </row>
    <row r="44" spans="2:4" s="40" customFormat="1" ht="14.25" hidden="1">
      <c r="B44" s="416" t="s">
        <v>65</v>
      </c>
      <c r="C44" s="423"/>
      <c r="D44" s="423">
        <v>0</v>
      </c>
    </row>
    <row r="45" spans="2:4" s="38" customFormat="1" ht="12.75" hidden="1">
      <c r="B45" s="416" t="s">
        <v>619</v>
      </c>
      <c r="C45" s="421"/>
      <c r="D45" s="421">
        <v>0</v>
      </c>
    </row>
    <row r="46" spans="2:4" s="38" customFormat="1" ht="12.75" hidden="1">
      <c r="B46" s="416" t="s">
        <v>65</v>
      </c>
      <c r="C46" s="421"/>
      <c r="D46" s="421"/>
    </row>
    <row r="47" spans="2:4" s="38" customFormat="1" ht="12.75" hidden="1">
      <c r="B47" s="416" t="s">
        <v>219</v>
      </c>
      <c r="C47" s="423"/>
      <c r="D47" s="423"/>
    </row>
    <row r="48" spans="2:4" s="38" customFormat="1" ht="12.75">
      <c r="B48" s="416" t="s">
        <v>220</v>
      </c>
      <c r="C48" s="423">
        <v>0</v>
      </c>
      <c r="D48" s="423">
        <v>647041</v>
      </c>
    </row>
    <row r="49" spans="2:4" s="38" customFormat="1" ht="12.75">
      <c r="B49" s="417" t="s">
        <v>266</v>
      </c>
      <c r="C49" s="404">
        <f>C34-C39</f>
        <v>351882</v>
      </c>
      <c r="D49" s="404">
        <f>D34-D39</f>
        <v>-2650252</v>
      </c>
    </row>
    <row r="50" spans="2:4" s="38" customFormat="1" ht="12.75">
      <c r="B50" s="424" t="s">
        <v>267</v>
      </c>
      <c r="C50" s="419">
        <f>C18+C32+C49</f>
        <v>10490</v>
      </c>
      <c r="D50" s="419">
        <f>D18+D32+D49</f>
        <v>-30285</v>
      </c>
    </row>
    <row r="51" spans="2:4" s="38" customFormat="1" ht="12.75">
      <c r="B51" s="424" t="s">
        <v>268</v>
      </c>
      <c r="C51" s="406">
        <f>C54-C53</f>
        <v>10490</v>
      </c>
      <c r="D51" s="406">
        <f>D54-D53</f>
        <v>-30285</v>
      </c>
    </row>
    <row r="52" spans="2:4" s="38" customFormat="1" ht="12.75">
      <c r="B52" s="425" t="s">
        <v>222</v>
      </c>
      <c r="C52" s="405">
        <v>0</v>
      </c>
      <c r="D52" s="405">
        <v>0</v>
      </c>
    </row>
    <row r="53" spans="2:4" s="38" customFormat="1" ht="12.75">
      <c r="B53" s="424" t="s">
        <v>366</v>
      </c>
      <c r="C53" s="406">
        <v>167921</v>
      </c>
      <c r="D53" s="406">
        <v>198206</v>
      </c>
    </row>
    <row r="54" spans="2:4" s="38" customFormat="1" ht="12.75">
      <c r="B54" s="424" t="s">
        <v>367</v>
      </c>
      <c r="C54" s="404">
        <f>C53+C50</f>
        <v>178411</v>
      </c>
      <c r="D54" s="404">
        <f>D50+D53</f>
        <v>167921</v>
      </c>
    </row>
    <row r="55" spans="2:4" s="42" customFormat="1" ht="11.25" customHeight="1">
      <c r="B55" s="25"/>
      <c r="C55" s="29"/>
      <c r="D55" s="26"/>
    </row>
    <row r="56" spans="2:4" s="42" customFormat="1" ht="11.25" customHeight="1">
      <c r="B56" s="25"/>
      <c r="C56" s="29"/>
      <c r="D56" s="26"/>
    </row>
    <row r="57" spans="2:4" s="42" customFormat="1" ht="11.25" customHeight="1">
      <c r="B57" s="25"/>
      <c r="C57" s="31"/>
      <c r="D57" s="26"/>
    </row>
    <row r="58" spans="2:4" s="42" customFormat="1" ht="11.25" customHeight="1">
      <c r="B58" s="25"/>
      <c r="C58" s="29"/>
      <c r="D58" s="26"/>
    </row>
    <row r="59" spans="2:4" s="42" customFormat="1" ht="11.25" customHeight="1">
      <c r="B59" s="25"/>
      <c r="C59" s="29"/>
      <c r="D59" s="26"/>
    </row>
    <row r="60" spans="2:4" s="42" customFormat="1" ht="11.25" customHeight="1">
      <c r="B60" s="25"/>
      <c r="C60" s="31"/>
      <c r="D60" s="26"/>
    </row>
    <row r="61" spans="2:4" s="42" customFormat="1" ht="16.5" customHeight="1">
      <c r="B61" s="25"/>
      <c r="C61" s="26"/>
      <c r="D61" s="26"/>
    </row>
    <row r="62" spans="2:4" s="42" customFormat="1" ht="16.5" customHeight="1">
      <c r="B62" s="25"/>
      <c r="C62" s="26"/>
      <c r="D62" s="26"/>
    </row>
    <row r="63" spans="2:4" s="42" customFormat="1" ht="16.5" customHeight="1">
      <c r="B63" s="33"/>
      <c r="C63" s="26"/>
      <c r="D63" s="26"/>
    </row>
    <row r="64" spans="2:4" s="42" customFormat="1" ht="16.5" customHeight="1">
      <c r="B64" s="25"/>
      <c r="C64" s="26"/>
      <c r="D64" s="26"/>
    </row>
    <row r="65" spans="2:4" s="42" customFormat="1" ht="16.5" customHeight="1">
      <c r="B65" s="33"/>
      <c r="C65" s="26"/>
      <c r="D65" s="26"/>
    </row>
    <row r="66" spans="2:4" s="42" customFormat="1" ht="16.5" customHeight="1">
      <c r="B66" s="35"/>
      <c r="C66" s="26"/>
      <c r="D66" s="26"/>
    </row>
    <row r="67" spans="2:4" s="42" customFormat="1" ht="16.5" customHeight="1">
      <c r="B67" s="35"/>
      <c r="C67" s="26"/>
      <c r="D67" s="26"/>
    </row>
  </sheetData>
  <sheetProtection/>
  <mergeCells count="3">
    <mergeCell ref="B3:D3"/>
    <mergeCell ref="B19:D19"/>
    <mergeCell ref="B33:D33"/>
  </mergeCells>
  <hyperlinks>
    <hyperlink ref="B1" location="'Spis treści'!A1" display="'Spis treści'!A1"/>
  </hyperlink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showGridLines="0" view="pageBreakPreview" zoomScaleSheetLayoutView="100" zoomScalePageLayoutView="0" workbookViewId="0" topLeftCell="A8">
      <selection activeCell="J20" sqref="J20"/>
    </sheetView>
  </sheetViews>
  <sheetFormatPr defaultColWidth="9.28125" defaultRowHeight="12.75"/>
  <cols>
    <col min="1" max="1" width="40.00390625" style="249" customWidth="1"/>
    <col min="2" max="3" width="18.28125" style="249" bestFit="1" customWidth="1"/>
    <col min="4" max="4" width="12.57421875" style="249" customWidth="1"/>
    <col min="5" max="5" width="15.28125" style="249" customWidth="1"/>
    <col min="6" max="6" width="11.421875" style="249" customWidth="1"/>
    <col min="7" max="7" width="12.421875" style="249" customWidth="1"/>
    <col min="8" max="8" width="9.7109375" style="249" customWidth="1"/>
    <col min="9" max="9" width="9.28125" style="249" customWidth="1"/>
    <col min="10" max="10" width="14.28125" style="249" customWidth="1"/>
    <col min="11" max="11" width="9.28125" style="249" customWidth="1"/>
    <col min="12" max="12" width="14.00390625" style="249" customWidth="1"/>
    <col min="13" max="16384" width="9.28125" style="249" customWidth="1"/>
  </cols>
  <sheetData>
    <row r="1" s="247" customFormat="1" ht="12">
      <c r="A1" s="248"/>
    </row>
    <row r="2" s="155" customFormat="1" ht="12.75">
      <c r="A2" s="266" t="s">
        <v>492</v>
      </c>
    </row>
    <row r="3" s="155" customFormat="1" ht="11.25">
      <c r="A3" s="63"/>
    </row>
    <row r="4" spans="1:3" s="155" customFormat="1" ht="11.25">
      <c r="A4" s="133" t="s">
        <v>330</v>
      </c>
      <c r="B4" s="142" t="str">
        <f>'Dane podstawowe'!B7</f>
        <v>01.01.2022 - 31.12.2022</v>
      </c>
      <c r="C4" s="142" t="str">
        <f>'Dane podstawowe'!B12</f>
        <v>01.01.2021 - 31.12.2021</v>
      </c>
    </row>
    <row r="5" spans="1:3" s="155" customFormat="1" ht="15" customHeight="1">
      <c r="A5" s="434" t="s">
        <v>382</v>
      </c>
      <c r="B5" s="435"/>
      <c r="C5" s="435"/>
    </row>
    <row r="6" spans="1:3" s="155" customFormat="1" ht="15" customHeight="1" hidden="1">
      <c r="A6" s="436" t="s">
        <v>273</v>
      </c>
      <c r="B6" s="117">
        <v>0</v>
      </c>
      <c r="C6" s="117">
        <v>0</v>
      </c>
    </row>
    <row r="7" spans="1:3" s="155" customFormat="1" ht="15" customHeight="1" hidden="1">
      <c r="A7" s="436" t="s">
        <v>274</v>
      </c>
      <c r="B7" s="117">
        <v>0</v>
      </c>
      <c r="C7" s="117">
        <v>0</v>
      </c>
    </row>
    <row r="8" spans="1:3" s="155" customFormat="1" ht="15" customHeight="1">
      <c r="A8" s="436" t="s">
        <v>275</v>
      </c>
      <c r="B8" s="117">
        <v>16212340</v>
      </c>
      <c r="C8" s="117">
        <v>13822345</v>
      </c>
    </row>
    <row r="9" spans="1:7" s="155" customFormat="1" ht="15" customHeight="1">
      <c r="A9" s="59" t="s">
        <v>276</v>
      </c>
      <c r="B9" s="64">
        <f>SUM(B6:B8)</f>
        <v>16212340</v>
      </c>
      <c r="C9" s="64">
        <f>SUM(C6:C8)</f>
        <v>13822345</v>
      </c>
      <c r="F9" s="603"/>
      <c r="G9" s="603"/>
    </row>
    <row r="10" spans="1:3" s="155" customFormat="1" ht="15" customHeight="1">
      <c r="A10" s="436" t="s">
        <v>202</v>
      </c>
      <c r="B10" s="117">
        <v>772594</v>
      </c>
      <c r="C10" s="117">
        <v>68177</v>
      </c>
    </row>
    <row r="11" spans="1:3" s="155" customFormat="1" ht="15" customHeight="1">
      <c r="A11" s="436" t="s">
        <v>329</v>
      </c>
      <c r="B11" s="117">
        <v>3676730</v>
      </c>
      <c r="C11" s="117">
        <v>849021</v>
      </c>
    </row>
    <row r="12" spans="1:3" s="155" customFormat="1" ht="22.5">
      <c r="A12" s="71" t="s">
        <v>383</v>
      </c>
      <c r="B12" s="64">
        <f>SUM(B9:B11)</f>
        <v>20661664</v>
      </c>
      <c r="C12" s="64">
        <f>SUM(C9:C11)</f>
        <v>14739543</v>
      </c>
    </row>
    <row r="13" spans="1:3" s="155" customFormat="1" ht="11.25">
      <c r="A13" s="59" t="s">
        <v>845</v>
      </c>
      <c r="B13" s="64">
        <v>0</v>
      </c>
      <c r="C13" s="64">
        <v>0</v>
      </c>
    </row>
    <row r="14" spans="1:3" s="62" customFormat="1" ht="12.75" customHeight="1">
      <c r="A14" s="59" t="s">
        <v>384</v>
      </c>
      <c r="B14" s="64">
        <f>B12+B13</f>
        <v>20661664</v>
      </c>
      <c r="C14" s="64">
        <f>C12+C13</f>
        <v>14739543</v>
      </c>
    </row>
    <row r="15" spans="1:3" s="62" customFormat="1" ht="12.75" customHeight="1">
      <c r="A15" s="437"/>
      <c r="B15" s="438">
        <f>(RZiS!E3+RZiS!E16+RZiS!E19)-'NOTA 1,2 - Przychody i segmenty'!B12</f>
        <v>0</v>
      </c>
      <c r="C15" s="438">
        <f>(RZiS!F3+RZiS!F16+RZiS!F19)-'NOTA 1,2 - Przychody i segmenty'!C12</f>
        <v>0</v>
      </c>
    </row>
    <row r="16" spans="1:3" s="62" customFormat="1" ht="12.75" customHeight="1">
      <c r="A16" s="437"/>
      <c r="B16" s="60"/>
      <c r="C16" s="60"/>
    </row>
    <row r="17" spans="1:3" s="62" customFormat="1" ht="12.75" customHeight="1">
      <c r="A17" s="437"/>
      <c r="B17" s="60"/>
      <c r="C17" s="60"/>
    </row>
    <row r="18" spans="1:3" s="62" customFormat="1" ht="12.75" customHeight="1">
      <c r="A18" s="586" t="s">
        <v>253</v>
      </c>
      <c r="B18" s="586" t="str">
        <f>B4</f>
        <v>01.01.2022 - 31.12.2022</v>
      </c>
      <c r="C18" s="586" t="str">
        <f>C4</f>
        <v>01.01.2021 - 31.12.2021</v>
      </c>
    </row>
    <row r="19" spans="1:3" s="62" customFormat="1" ht="12.75" customHeight="1">
      <c r="A19" s="65" t="s">
        <v>718</v>
      </c>
      <c r="B19" s="106">
        <v>4812266</v>
      </c>
      <c r="C19" s="106">
        <v>4710261</v>
      </c>
    </row>
    <row r="20" spans="1:3" s="62" customFormat="1" ht="12.75" customHeight="1">
      <c r="A20" s="65" t="s">
        <v>719</v>
      </c>
      <c r="B20" s="106">
        <v>1399324</v>
      </c>
      <c r="C20" s="106">
        <v>1412148</v>
      </c>
    </row>
    <row r="21" spans="1:3" s="62" customFormat="1" ht="12.75" customHeight="1">
      <c r="A21" s="65" t="s">
        <v>720</v>
      </c>
      <c r="B21" s="106">
        <v>3488719</v>
      </c>
      <c r="C21" s="106">
        <v>2600781</v>
      </c>
    </row>
    <row r="22" spans="1:3" s="62" customFormat="1" ht="12.75" customHeight="1">
      <c r="A22" s="65" t="s">
        <v>721</v>
      </c>
      <c r="B22" s="106">
        <v>2135159</v>
      </c>
      <c r="C22" s="106">
        <v>1515569</v>
      </c>
    </row>
    <row r="23" spans="1:3" s="62" customFormat="1" ht="12.75" customHeight="1">
      <c r="A23" s="65" t="s">
        <v>878</v>
      </c>
      <c r="B23" s="106">
        <v>3468899</v>
      </c>
      <c r="C23" s="106">
        <v>2692018</v>
      </c>
    </row>
    <row r="24" spans="1:3" s="62" customFormat="1" ht="12.75" customHeight="1">
      <c r="A24" s="65" t="s">
        <v>879</v>
      </c>
      <c r="B24" s="106">
        <v>827191</v>
      </c>
      <c r="C24" s="106">
        <v>669887</v>
      </c>
    </row>
    <row r="25" spans="1:3" s="62" customFormat="1" ht="12.75" customHeight="1">
      <c r="A25" s="65" t="s">
        <v>65</v>
      </c>
      <c r="B25" s="106">
        <v>80782</v>
      </c>
      <c r="C25" s="106">
        <v>221681</v>
      </c>
    </row>
    <row r="26" spans="1:3" s="62" customFormat="1" ht="12.75" customHeight="1">
      <c r="A26" s="92" t="s">
        <v>339</v>
      </c>
      <c r="B26" s="105">
        <f>SUM(B19:B25)</f>
        <v>16212340</v>
      </c>
      <c r="C26" s="105">
        <f>SUM(C19:C25)</f>
        <v>13822345</v>
      </c>
    </row>
    <row r="27" spans="1:3" s="60" customFormat="1" ht="27" customHeight="1">
      <c r="A27"/>
      <c r="B27" s="375">
        <f>B26-RZiS!E3</f>
        <v>0</v>
      </c>
      <c r="C27" s="375">
        <f>C26-RZiS!F3</f>
        <v>0</v>
      </c>
    </row>
    <row r="28" spans="1:12" s="237" customFormat="1" ht="12.75">
      <c r="A28" s="266" t="s">
        <v>497</v>
      </c>
      <c r="E28" s="497"/>
      <c r="F28" s="470"/>
      <c r="G28" s="470"/>
      <c r="H28" s="470"/>
      <c r="I28" s="470"/>
      <c r="J28" s="470"/>
      <c r="K28" s="470"/>
      <c r="L28" s="470"/>
    </row>
    <row r="29" spans="1:12" s="237" customFormat="1" ht="38.25" customHeight="1">
      <c r="A29" s="719" t="s">
        <v>955</v>
      </c>
      <c r="B29" s="719"/>
      <c r="C29" s="719"/>
      <c r="D29" s="719"/>
      <c r="E29" s="719"/>
      <c r="F29" s="719"/>
      <c r="G29" s="719"/>
      <c r="H29" s="719"/>
      <c r="I29" s="470"/>
      <c r="J29" s="470"/>
      <c r="K29" s="470"/>
      <c r="L29" s="470"/>
    </row>
    <row r="30" spans="1:12" s="237" customFormat="1" ht="32.25" customHeight="1">
      <c r="A30" s="719" t="s">
        <v>491</v>
      </c>
      <c r="B30" s="719"/>
      <c r="C30" s="719"/>
      <c r="D30" s="719"/>
      <c r="E30" s="719"/>
      <c r="F30" s="719"/>
      <c r="G30" s="719"/>
      <c r="H30" s="719"/>
      <c r="I30" s="470"/>
      <c r="J30" s="470"/>
      <c r="K30" s="470"/>
      <c r="L30" s="470"/>
    </row>
  </sheetData>
  <sheetProtection/>
  <mergeCells count="2">
    <mergeCell ref="A29:H29"/>
    <mergeCell ref="A30:H30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 Barycki</dc:creator>
  <cp:keywords/>
  <dc:description/>
  <cp:lastModifiedBy>a.grodon</cp:lastModifiedBy>
  <cp:lastPrinted>2018-03-08T11:10:25Z</cp:lastPrinted>
  <dcterms:created xsi:type="dcterms:W3CDTF">2007-11-12T12:49:29Z</dcterms:created>
  <dcterms:modified xsi:type="dcterms:W3CDTF">2023-09-27T06:06:48Z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