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T_Skupien\2023\Dokumenty ogólne\pliki na giełdę\2022 SKONSOLIDOWANE\"/>
    </mc:Choice>
  </mc:AlternateContent>
  <bookViews>
    <workbookView xWindow="-108" yWindow="-108" windowWidth="23256" windowHeight="12576" tabRatio="867" activeTab="1"/>
  </bookViews>
  <sheets>
    <sheet name="Dane podstawowe" sheetId="2" r:id="rId1"/>
    <sheet name="wybrane dane finansowe" sheetId="64" r:id="rId2"/>
    <sheet name="RZiS" sheetId="7" r:id="rId3"/>
    <sheet name="Skr. spr. z cał. dochodów" sheetId="53" r:id="rId4"/>
    <sheet name="Aktywa" sheetId="3" r:id="rId5"/>
    <sheet name="Pasywa" sheetId="8" r:id="rId6"/>
    <sheet name="ZZwK" sheetId="9" r:id="rId7"/>
    <sheet name="RPP" sheetId="6" r:id="rId8"/>
    <sheet name="NOTA 1,2 - Przychody i segmenty" sheetId="4" r:id="rId9"/>
    <sheet name="NOTA 3 - Koszty rodzajowe" sheetId="11" r:id="rId10"/>
    <sheet name="NOTA 4 - PPO i PKO" sheetId="5" r:id="rId11"/>
    <sheet name="NOTA 5 - PF i KF" sheetId="10" r:id="rId12"/>
    <sheet name="NOTA 6 - Podatek " sheetId="12" r:id="rId13"/>
    <sheet name="NOTA 7 - Zysk na 1 akcję" sheetId="14" r:id="rId14"/>
    <sheet name="NOTA 9 -Rzeczowe aktywa trwałe" sheetId="18" r:id="rId15"/>
    <sheet name="NOTA 10 -Wartości niematerialne" sheetId="17" r:id="rId16"/>
    <sheet name="NOTA 11 - PRAWO DO UŻYTKOWANIA" sheetId="67" r:id="rId17"/>
    <sheet name="NOTA 12 - Wartość firmy" sheetId="50" r:id="rId18"/>
    <sheet name="NOTA 13,14 - Udziały,poz.akt" sheetId="22" r:id="rId19"/>
    <sheet name="NOTA 15 -Akt. fin." sheetId="59" r:id="rId20"/>
    <sheet name="NOTA 16,17 - Należności" sheetId="27" r:id="rId21"/>
    <sheet name="NOTA 17a - RMK" sheetId="37" state="hidden" r:id="rId22"/>
    <sheet name="NOTA 18 - Środki pieniężne" sheetId="26" r:id="rId23"/>
    <sheet name="NOTA  19,20,21- Kapitały" sheetId="25" r:id="rId24"/>
    <sheet name="NOTA 22 Kredyty i pożyczki" sheetId="24" r:id="rId25"/>
    <sheet name="NOTA 23 Zobowiązania finansowe" sheetId="60" r:id="rId26"/>
    <sheet name="NOTA 24,25 - Zob. hand i pozost" sheetId="45" r:id="rId27"/>
    <sheet name="NOTA 26 - RMP" sheetId="47" r:id="rId28"/>
    <sheet name="NOTA 27,28 - Rezerwy" sheetId="23" r:id="rId29"/>
    <sheet name="NOTA 29 - Zarządzanie ryzykiem" sheetId="72" r:id="rId30"/>
    <sheet name="NOTA 30 - Wpływ COVID-19" sheetId="73" r:id="rId31"/>
    <sheet name="NOTA 32 - Zarządzanie kapitałem" sheetId="34" r:id="rId32"/>
    <sheet name="NOTA 33 - Podmioty powiązane" sheetId="68" r:id="rId33"/>
    <sheet name="NOTA 34- Wynagrodzenie kadry " sheetId="31" r:id="rId34"/>
    <sheet name="NOTA 35 - Sruktura zatrudnienia" sheetId="35" r:id="rId35"/>
    <sheet name="NOTA 39 - Program opcji" sheetId="74" r:id="rId36"/>
    <sheet name="NOTA 40 - Wynagrodzenie BR" sheetId="56" r:id="rId37"/>
    <sheet name="NOTA 41 - Objasnienia do RPP" sheetId="36" r:id="rId38"/>
    <sheet name="Arkusz1" sheetId="75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Toc103232643" localSheetId="13">'NOTA 7 - Zysk na 1 akcję'!#REF!</definedName>
    <definedName name="BZ">[1]Dane!$BB$55</definedName>
    <definedName name="BZPoprzedni">[1]Dane!$BB$56</definedName>
    <definedName name="KoncOkrPoprzAlt" localSheetId="15">[2]Dane!$BB$72</definedName>
    <definedName name="KoncOkrSpraw" localSheetId="15">[2]Dane!$BB$63</definedName>
    <definedName name="_xlnm.Print_Area" localSheetId="4">Aktywa!$B$2:$H$25</definedName>
    <definedName name="_xlnm.Print_Area" localSheetId="23">'NOTA  19,20,21- Kapitały'!$B$2:$I$138</definedName>
    <definedName name="_xlnm.Print_Area" localSheetId="8">'NOTA 1,2 - Przychody i segmenty'!#REF!</definedName>
    <definedName name="_xlnm.Print_Area" localSheetId="15">'NOTA 10 -Wartości niematerialne'!$B$2:$J$104</definedName>
    <definedName name="_xlnm.Print_Area" localSheetId="17">'NOTA 12 - Wartość firmy'!$B$2:$H$45</definedName>
    <definedName name="_xlnm.Print_Area" localSheetId="18">'NOTA 13,14 - Udziały,poz.akt'!$A$28:$I$62</definedName>
    <definedName name="_xlnm.Print_Area" localSheetId="19">'NOTA 15 -Akt. fin.'!$A$2:$G$85</definedName>
    <definedName name="_xlnm.Print_Area" localSheetId="20">'NOTA 16,17 - Należności'!$A$2:$I$138</definedName>
    <definedName name="_xlnm.Print_Area" localSheetId="21">'NOTA 17a - RMK'!$A$2:$G$13</definedName>
    <definedName name="_xlnm.Print_Area" localSheetId="22">'NOTA 18 - Środki pieniężne'!$A$2:$C$13</definedName>
    <definedName name="_xlnm.Print_Area" localSheetId="24">'NOTA 22 Kredyty i pożyczki'!$A$2:$J$72</definedName>
    <definedName name="_xlnm.Print_Area" localSheetId="25">'NOTA 23 Zobowiązania finansowe'!$A$2:$H$108</definedName>
    <definedName name="_xlnm.Print_Area" localSheetId="26">'NOTA 24,25 - Zob. hand i pozost'!$A$2:$K$47</definedName>
    <definedName name="_xlnm.Print_Area" localSheetId="27">'NOTA 26 - RMP'!$A$2:$E$13</definedName>
    <definedName name="_xlnm.Print_Area" localSheetId="28">'NOTA 27,28 - Rezerwy'!$A$2:$L$68</definedName>
    <definedName name="_xlnm.Print_Area" localSheetId="29">'NOTA 29 - Zarządzanie ryzykiem'!$A$2:$L$60</definedName>
    <definedName name="_xlnm.Print_Area" localSheetId="9">'NOTA 3 - Koszty rodzajowe'!$B$2:$H$29</definedName>
    <definedName name="_xlnm.Print_Area" localSheetId="30">'NOTA 30 - Wpływ COVID-19'!$A$2:$L$23</definedName>
    <definedName name="_xlnm.Print_Area" localSheetId="31">'NOTA 32 - Zarządzanie kapitałem'!$A$2:$H$16</definedName>
    <definedName name="_xlnm.Print_Area" localSheetId="32">'NOTA 33 - Podmioty powiązane'!$A$2:$O$23</definedName>
    <definedName name="_xlnm.Print_Area" localSheetId="33">'NOTA 34- Wynagrodzenie kadry '!$A$2:$E$39</definedName>
    <definedName name="_xlnm.Print_Area" localSheetId="34">'NOTA 35 - Sruktura zatrudnienia'!$A$2:$F$21</definedName>
    <definedName name="_xlnm.Print_Area" localSheetId="10">'NOTA 4 - PPO i PKO'!$A$2:$H$48</definedName>
    <definedName name="_xlnm.Print_Area" localSheetId="36">'NOTA 40 - Wynagrodzenie BR'!$B$2:$G$10</definedName>
    <definedName name="_xlnm.Print_Area" localSheetId="37">'NOTA 41 - Objasnienia do RPP'!$A$2:$H$76</definedName>
    <definedName name="_xlnm.Print_Area" localSheetId="11">'NOTA 5 - PF i KF'!$A$2:$I$43</definedName>
    <definedName name="_xlnm.Print_Area" localSheetId="12">'NOTA 6 - Podatek '!$B$2:$L$91</definedName>
    <definedName name="_xlnm.Print_Area" localSheetId="13">'NOTA 7 - Zysk na 1 akcję'!$B$2:$H$25</definedName>
    <definedName name="_xlnm.Print_Area" localSheetId="14">'NOTA 9 -Rzeczowe aktywa trwałe'!$B$2:$J$161</definedName>
    <definedName name="_xlnm.Print_Area" localSheetId="5">Pasywa!$B$2:$G$31</definedName>
    <definedName name="_xlnm.Print_Area" localSheetId="7">RPP!$B$2:$G$59</definedName>
    <definedName name="_xlnm.Print_Area" localSheetId="2">RZiS!$B$2:$I$42</definedName>
    <definedName name="_xlnm.Print_Area" localSheetId="3">'Skr. spr. z cał. dochodów'!$B$2:$H$15</definedName>
    <definedName name="_xlnm.Print_Area" localSheetId="1">'wybrane dane finansowe'!$A$2:$E$34</definedName>
    <definedName name="_xlnm.Print_Area" localSheetId="6">ZZwK!$B$2:$K$51</definedName>
    <definedName name="OdDo" localSheetId="1">[3]Dane!$BB$58</definedName>
    <definedName name="OdDo">[4]Dane!$BB$58</definedName>
    <definedName name="OdDoPoprz" localSheetId="1">[3]Dane!$BB$59</definedName>
    <definedName name="OdDoPoprz">[4]Dane!$BB$59</definedName>
    <definedName name="OdDoPoprzAlt" localSheetId="1">[3]Dane!$BB$60</definedName>
    <definedName name="OdDoPoprzAlt">[4]Dane!$BB$60</definedName>
    <definedName name="PoczOkrPoprz" localSheetId="15">[2]Dane!$BB$68</definedName>
    <definedName name="PoczOkrSpraw" localSheetId="15">[2]Dane!$BB$62</definedName>
    <definedName name="SkrotWaluty" localSheetId="1">[5]Dane!$BB$96</definedName>
    <definedName name="SkrotWaluty">[1]Dane!$BB$96</definedName>
    <definedName name="WOkrPoprzAlt" localSheetId="1">[3]Dane!$BB$74</definedName>
    <definedName name="WOkrPoprzAlt">[4]Dane!$BB$74</definedName>
    <definedName name="WOkrSpraw" localSheetId="1">[3]Dane!$BB$67</definedName>
    <definedName name="WOkrSpraw">[4]Dane!$BB$67</definedName>
  </definedNames>
  <calcPr calcId="152511"/>
</workbook>
</file>

<file path=xl/calcChain.xml><?xml version="1.0" encoding="utf-8"?>
<calcChain xmlns="http://schemas.openxmlformats.org/spreadsheetml/2006/main">
  <c r="G9" i="68" l="1"/>
  <c r="F9" i="68"/>
  <c r="E9" i="68"/>
  <c r="D9" i="68"/>
  <c r="C6" i="31"/>
  <c r="G33" i="4" l="1"/>
  <c r="D33" i="4"/>
  <c r="E33" i="4"/>
  <c r="F33" i="4"/>
  <c r="F32" i="4" s="1"/>
  <c r="C33" i="4"/>
  <c r="C32" i="4" s="1"/>
  <c r="E32" i="4"/>
  <c r="H33" i="4"/>
  <c r="G32" i="4"/>
  <c r="H31" i="4"/>
  <c r="H30" i="4"/>
  <c r="H29" i="4"/>
  <c r="H28" i="4"/>
  <c r="H27" i="4"/>
  <c r="H26" i="4"/>
  <c r="H25" i="4"/>
  <c r="H24" i="4"/>
  <c r="H23" i="4"/>
  <c r="H22" i="4"/>
  <c r="H21" i="4"/>
  <c r="H66" i="4"/>
  <c r="F66" i="4"/>
  <c r="D66" i="4"/>
  <c r="J65" i="4"/>
  <c r="D32" i="4" l="1"/>
  <c r="H32" i="4" s="1"/>
  <c r="H15" i="4" l="1"/>
  <c r="H16" i="4"/>
  <c r="H7" i="4"/>
  <c r="H8" i="4"/>
  <c r="H9" i="4"/>
  <c r="H10" i="4"/>
  <c r="H11" i="4"/>
  <c r="H12" i="4"/>
  <c r="H13" i="4"/>
  <c r="H14" i="4"/>
  <c r="H6" i="4"/>
  <c r="H64" i="4" l="1"/>
  <c r="F64" i="4"/>
  <c r="D64" i="4"/>
  <c r="G63" i="4"/>
  <c r="G64" i="4" l="1"/>
  <c r="G66" i="4"/>
  <c r="G43" i="4"/>
  <c r="K64" i="4" l="1"/>
  <c r="F46" i="4" l="1"/>
  <c r="H46" i="4"/>
  <c r="D46" i="4"/>
  <c r="J45" i="4"/>
  <c r="G46" i="4" l="1"/>
  <c r="K44" i="4" l="1"/>
  <c r="F44" i="4"/>
  <c r="E18" i="4" s="1"/>
  <c r="E17" i="4" s="1"/>
  <c r="G44" i="4"/>
  <c r="F18" i="4" s="1"/>
  <c r="F17" i="4" s="1"/>
  <c r="H44" i="4"/>
  <c r="G18" i="4" s="1"/>
  <c r="G17" i="4" s="1"/>
  <c r="D44" i="4"/>
  <c r="C18" i="4" s="1"/>
  <c r="C17" i="4" s="1"/>
  <c r="J74" i="4" l="1"/>
  <c r="J73" i="4"/>
  <c r="J71" i="4"/>
  <c r="J70" i="4"/>
  <c r="J69" i="4"/>
  <c r="J68" i="4"/>
  <c r="J67" i="4"/>
  <c r="J62" i="4"/>
  <c r="E63" i="4" s="1"/>
  <c r="E66" i="4" s="1"/>
  <c r="J66" i="4" s="1"/>
  <c r="J53" i="4"/>
  <c r="J52" i="4"/>
  <c r="J50" i="4"/>
  <c r="J49" i="4"/>
  <c r="J48" i="4"/>
  <c r="J47" i="4"/>
  <c r="J42" i="4"/>
  <c r="E43" i="4" s="1"/>
  <c r="E46" i="4" s="1"/>
  <c r="J46" i="4" s="1"/>
  <c r="E64" i="4" l="1"/>
  <c r="J64" i="4" s="1"/>
  <c r="J63" i="4"/>
  <c r="J43" i="4"/>
  <c r="E44" i="4"/>
  <c r="D40" i="12"/>
  <c r="C40" i="12"/>
  <c r="C26" i="36"/>
  <c r="B31" i="36"/>
  <c r="B26" i="36" s="1"/>
  <c r="C70" i="36"/>
  <c r="B70" i="36"/>
  <c r="J44" i="4" l="1"/>
  <c r="D18" i="4"/>
  <c r="D17" i="4" s="1"/>
  <c r="L74" i="4"/>
  <c r="L73" i="4"/>
  <c r="L71" i="4"/>
  <c r="L70" i="4"/>
  <c r="L69" i="4"/>
  <c r="L62" i="4"/>
  <c r="L53" i="4"/>
  <c r="L52" i="4"/>
  <c r="L50" i="4"/>
  <c r="L49" i="4"/>
  <c r="H17" i="4" l="1"/>
  <c r="H18" i="4"/>
  <c r="L42" i="4"/>
  <c r="D23" i="12"/>
  <c r="C23" i="12"/>
  <c r="E106" i="4" l="1"/>
  <c r="C106" i="4"/>
  <c r="E105" i="4"/>
  <c r="C105" i="4"/>
  <c r="E103" i="4"/>
  <c r="C103" i="4"/>
  <c r="D90" i="4"/>
  <c r="D82" i="4"/>
  <c r="K72" i="4"/>
  <c r="H72" i="4"/>
  <c r="H75" i="4" s="1"/>
  <c r="G72" i="4"/>
  <c r="G75" i="4" s="1"/>
  <c r="F72" i="4"/>
  <c r="F75" i="4" s="1"/>
  <c r="E72" i="4"/>
  <c r="E75" i="4" s="1"/>
  <c r="D72" i="4"/>
  <c r="D75" i="4" s="1"/>
  <c r="K51" i="4"/>
  <c r="H51" i="4"/>
  <c r="H54" i="4" s="1"/>
  <c r="G51" i="4"/>
  <c r="G54" i="4" s="1"/>
  <c r="F51" i="4"/>
  <c r="F54" i="4" s="1"/>
  <c r="E51" i="4"/>
  <c r="E54" i="4" s="1"/>
  <c r="D51" i="4"/>
  <c r="D54" i="4" s="1"/>
  <c r="E104" i="4" l="1"/>
  <c r="E107" i="4" s="1"/>
  <c r="E108" i="4" s="1"/>
  <c r="J51" i="4"/>
  <c r="J54" i="4" s="1"/>
  <c r="J72" i="4"/>
  <c r="J75" i="4" s="1"/>
  <c r="C104" i="4"/>
  <c r="C107" i="4" s="1"/>
  <c r="D104" i="4" s="1"/>
  <c r="K75" i="4"/>
  <c r="K54" i="4"/>
  <c r="D106" i="4" l="1"/>
  <c r="D105" i="4"/>
  <c r="C108" i="4"/>
  <c r="D103" i="4"/>
  <c r="C16" i="6" l="1"/>
  <c r="E87" i="25" l="1"/>
  <c r="E86" i="25"/>
  <c r="I57" i="18" l="1"/>
  <c r="C19" i="10" l="1"/>
  <c r="B19" i="10"/>
  <c r="B20" i="5"/>
  <c r="B21" i="5" s="1"/>
  <c r="C20" i="5"/>
  <c r="B21" i="72" l="1"/>
  <c r="B22" i="60" l="1"/>
  <c r="B23" i="60"/>
  <c r="D80" i="12" l="1"/>
  <c r="F76" i="12"/>
  <c r="E46" i="12"/>
  <c r="E45" i="12"/>
  <c r="B11" i="37" l="1"/>
  <c r="C11" i="26" l="1"/>
  <c r="B11" i="26"/>
  <c r="C69" i="27" l="1"/>
  <c r="H70" i="27"/>
  <c r="D25" i="8" l="1"/>
  <c r="D19" i="3"/>
  <c r="D9" i="8" l="1"/>
  <c r="C10" i="73" l="1"/>
  <c r="E13" i="67" l="1"/>
  <c r="B26" i="67" l="1"/>
  <c r="B23" i="67"/>
  <c r="C10" i="67" l="1"/>
  <c r="D10" i="67"/>
  <c r="B10" i="67"/>
  <c r="D7" i="8" l="1"/>
  <c r="D12" i="3" l="1"/>
  <c r="B51" i="24" l="1"/>
  <c r="C16" i="24"/>
  <c r="C8" i="24"/>
  <c r="F47" i="25"/>
  <c r="E47" i="25"/>
  <c r="C47" i="25"/>
  <c r="C17" i="59"/>
  <c r="B17" i="59"/>
  <c r="E60" i="22"/>
  <c r="A60" i="22"/>
  <c r="E59" i="22"/>
  <c r="A59" i="22"/>
  <c r="C17" i="22"/>
  <c r="C21" i="12"/>
  <c r="C20" i="12" s="1"/>
  <c r="D16" i="6"/>
  <c r="E25" i="8"/>
  <c r="E19" i="3"/>
  <c r="E12" i="3"/>
  <c r="E11" i="3"/>
  <c r="E14" i="53"/>
  <c r="E19" i="7"/>
  <c r="C7" i="6" l="1"/>
  <c r="D7" i="6"/>
  <c r="I15" i="9" l="1"/>
  <c r="E96" i="25" l="1"/>
  <c r="B30" i="24" l="1"/>
  <c r="F9" i="24"/>
  <c r="F11" i="24"/>
  <c r="F6" i="24"/>
  <c r="B8" i="24"/>
  <c r="J13" i="17" l="1"/>
  <c r="C20" i="47" l="1"/>
  <c r="B20" i="47"/>
  <c r="C18" i="73" l="1"/>
  <c r="C52" i="59" l="1"/>
  <c r="C51" i="59"/>
  <c r="B51" i="59"/>
  <c r="C50" i="59"/>
  <c r="C49" i="59"/>
  <c r="B50" i="59"/>
  <c r="B49" i="59"/>
  <c r="C46" i="59"/>
  <c r="C43" i="59"/>
  <c r="C44" i="59"/>
  <c r="C45" i="59"/>
  <c r="B45" i="59"/>
  <c r="B46" i="59"/>
  <c r="B44" i="59"/>
  <c r="B43" i="59"/>
  <c r="B52" i="59"/>
  <c r="D14" i="53" l="1"/>
  <c r="E28" i="23" l="1"/>
  <c r="E17" i="23" s="1"/>
  <c r="D28" i="23"/>
  <c r="D30" i="23" s="1"/>
  <c r="C28" i="23"/>
  <c r="C17" i="23" s="1"/>
  <c r="C21" i="23" s="1"/>
  <c r="B28" i="23"/>
  <c r="F27" i="23"/>
  <c r="F26" i="23"/>
  <c r="F25" i="23"/>
  <c r="F24" i="23"/>
  <c r="B21" i="23"/>
  <c r="F20" i="23"/>
  <c r="F19" i="23"/>
  <c r="F18" i="23"/>
  <c r="C9" i="23"/>
  <c r="C11" i="23" s="1"/>
  <c r="C11" i="60"/>
  <c r="B44" i="24"/>
  <c r="B45" i="24"/>
  <c r="H91" i="27"/>
  <c r="H90" i="27"/>
  <c r="G90" i="27"/>
  <c r="F90" i="27"/>
  <c r="E90" i="27"/>
  <c r="D90" i="27"/>
  <c r="C90" i="27"/>
  <c r="H88" i="27"/>
  <c r="F88" i="27"/>
  <c r="F92" i="27" s="1"/>
  <c r="G91" i="27"/>
  <c r="F91" i="27"/>
  <c r="E88" i="27"/>
  <c r="E92" i="27" s="1"/>
  <c r="D88" i="27"/>
  <c r="D92" i="27" s="1"/>
  <c r="C91" i="27"/>
  <c r="B86" i="27"/>
  <c r="D17" i="23" l="1"/>
  <c r="D21" i="23" s="1"/>
  <c r="D23" i="23" s="1"/>
  <c r="E21" i="23"/>
  <c r="E23" i="23" s="1"/>
  <c r="F28" i="23"/>
  <c r="F30" i="23" s="1"/>
  <c r="E30" i="23"/>
  <c r="D91" i="27"/>
  <c r="C88" i="27"/>
  <c r="C92" i="27" s="1"/>
  <c r="G88" i="27"/>
  <c r="G92" i="27" s="1"/>
  <c r="E91" i="27"/>
  <c r="B87" i="27"/>
  <c r="F17" i="23" l="1"/>
  <c r="F21" i="23" s="1"/>
  <c r="F23" i="23" s="1"/>
  <c r="B88" i="27"/>
  <c r="B91" i="27"/>
  <c r="C82" i="18" l="1"/>
  <c r="H71" i="18"/>
  <c r="G71" i="18"/>
  <c r="F71" i="18"/>
  <c r="E71" i="18"/>
  <c r="D71" i="18"/>
  <c r="I53" i="18"/>
  <c r="C54" i="18"/>
  <c r="D54" i="18"/>
  <c r="E54" i="18"/>
  <c r="F54" i="18"/>
  <c r="G54" i="18"/>
  <c r="H54" i="18"/>
  <c r="I55" i="18"/>
  <c r="I56" i="18"/>
  <c r="I58" i="18"/>
  <c r="I59" i="18"/>
  <c r="I60" i="18"/>
  <c r="I61" i="18"/>
  <c r="C62" i="18"/>
  <c r="D62" i="18"/>
  <c r="E62" i="18"/>
  <c r="F62" i="18"/>
  <c r="G62" i="18"/>
  <c r="H62" i="18"/>
  <c r="I63" i="18"/>
  <c r="I64" i="18"/>
  <c r="I65" i="18"/>
  <c r="I66" i="18"/>
  <c r="I67" i="18"/>
  <c r="I68" i="18"/>
  <c r="I70" i="18"/>
  <c r="C71" i="18"/>
  <c r="C72" i="18"/>
  <c r="D72" i="18"/>
  <c r="E72" i="18"/>
  <c r="F72" i="18"/>
  <c r="G72" i="18"/>
  <c r="I73" i="18"/>
  <c r="I74" i="18"/>
  <c r="I75" i="18"/>
  <c r="C76" i="18"/>
  <c r="D76" i="18"/>
  <c r="E76" i="18"/>
  <c r="F76" i="18"/>
  <c r="G76" i="18"/>
  <c r="H76" i="18"/>
  <c r="H82" i="18" s="1"/>
  <c r="I77" i="18"/>
  <c r="I78" i="18"/>
  <c r="I79" i="18"/>
  <c r="I80" i="18"/>
  <c r="I81" i="18"/>
  <c r="I83" i="18"/>
  <c r="G82" i="18" l="1"/>
  <c r="E82" i="18"/>
  <c r="G69" i="18"/>
  <c r="C69" i="18"/>
  <c r="C84" i="18" s="1"/>
  <c r="E69" i="18"/>
  <c r="E84" i="18" s="1"/>
  <c r="F82" i="18"/>
  <c r="D82" i="18"/>
  <c r="D34" i="18" s="1"/>
  <c r="D69" i="18"/>
  <c r="F69" i="18"/>
  <c r="H69" i="18"/>
  <c r="H84" i="18" s="1"/>
  <c r="I71" i="18"/>
  <c r="I54" i="18"/>
  <c r="I72" i="18"/>
  <c r="G84" i="18"/>
  <c r="I76" i="18"/>
  <c r="I62" i="18"/>
  <c r="I82" i="18" l="1"/>
  <c r="F84" i="18"/>
  <c r="D84" i="18"/>
  <c r="I69" i="18"/>
  <c r="I84" i="18" l="1"/>
  <c r="D21" i="12"/>
  <c r="D20" i="12" s="1"/>
  <c r="F28" i="72" l="1"/>
  <c r="F27" i="72"/>
  <c r="F26" i="72"/>
  <c r="F25" i="72"/>
  <c r="F24" i="72"/>
  <c r="F23" i="72"/>
  <c r="E22" i="72"/>
  <c r="D22" i="72"/>
  <c r="C22" i="72"/>
  <c r="B22" i="72"/>
  <c r="F21" i="72"/>
  <c r="F20" i="72"/>
  <c r="F19" i="72"/>
  <c r="F18" i="72"/>
  <c r="F17" i="72"/>
  <c r="F16" i="72"/>
  <c r="E15" i="72"/>
  <c r="D15" i="72"/>
  <c r="C15" i="72"/>
  <c r="B15" i="72"/>
  <c r="E10" i="72"/>
  <c r="D10" i="72"/>
  <c r="B44" i="60"/>
  <c r="B38" i="60"/>
  <c r="B37" i="60"/>
  <c r="B25" i="60"/>
  <c r="B20" i="60"/>
  <c r="B59" i="24"/>
  <c r="B24" i="24" s="1"/>
  <c r="B25" i="24"/>
  <c r="E70" i="59"/>
  <c r="D70" i="59"/>
  <c r="E65" i="59"/>
  <c r="D65" i="59"/>
  <c r="E63" i="59"/>
  <c r="D63" i="59"/>
  <c r="C48" i="59"/>
  <c r="B48" i="59"/>
  <c r="C42" i="59"/>
  <c r="B42" i="59"/>
  <c r="C29" i="59"/>
  <c r="B29" i="59"/>
  <c r="E21" i="22"/>
  <c r="A21" i="22"/>
  <c r="D17" i="22"/>
  <c r="E11" i="22"/>
  <c r="A11" i="22"/>
  <c r="D7" i="22"/>
  <c r="C30" i="5"/>
  <c r="B30" i="5"/>
  <c r="B50" i="60" l="1"/>
  <c r="B19" i="60" s="1"/>
  <c r="B31" i="60" s="1"/>
  <c r="B38" i="24"/>
  <c r="F22" i="72"/>
  <c r="F15" i="72"/>
  <c r="E52" i="23" l="1"/>
  <c r="E27" i="67" l="1"/>
  <c r="I39" i="18" l="1"/>
  <c r="I40" i="18"/>
  <c r="E88" i="25" l="1"/>
  <c r="C31" i="10" l="1"/>
  <c r="B31" i="10"/>
  <c r="C47" i="5"/>
  <c r="B47" i="5"/>
  <c r="C12" i="26" l="1"/>
  <c r="B12" i="26" l="1"/>
  <c r="B32" i="10" l="1"/>
  <c r="C32" i="10"/>
  <c r="C48" i="5" l="1"/>
  <c r="B48" i="5"/>
  <c r="B34" i="5"/>
  <c r="C34" i="5"/>
  <c r="C14" i="24" l="1"/>
  <c r="B14" i="24" l="1"/>
  <c r="F38" i="24" s="1"/>
  <c r="E17" i="67" l="1"/>
  <c r="E16" i="67"/>
  <c r="C27" i="45" l="1"/>
  <c r="C12" i="37"/>
  <c r="B12" i="37" l="1"/>
  <c r="B27" i="45"/>
  <c r="C73" i="27" l="1"/>
  <c r="B5" i="27" l="1"/>
  <c r="B33" i="27" l="1"/>
  <c r="B32" i="27"/>
  <c r="B42" i="27"/>
  <c r="G35" i="25" l="1"/>
  <c r="G34" i="25"/>
  <c r="G33" i="25"/>
  <c r="G32" i="25"/>
  <c r="G31" i="25"/>
  <c r="G30" i="25"/>
  <c r="C71" i="27" l="1"/>
  <c r="D71" i="27"/>
  <c r="E71" i="27"/>
  <c r="F71" i="27"/>
  <c r="G71" i="27"/>
  <c r="H71" i="27"/>
  <c r="C42" i="27"/>
  <c r="C35" i="27"/>
  <c r="D54" i="22"/>
  <c r="D53" i="22"/>
  <c r="G34" i="17" l="1"/>
  <c r="C64" i="17"/>
  <c r="J57" i="17"/>
  <c r="J58" i="17"/>
  <c r="J56" i="17"/>
  <c r="E54" i="67"/>
  <c r="D53" i="67"/>
  <c r="C53" i="67"/>
  <c r="B53" i="67"/>
  <c r="E51" i="67"/>
  <c r="D50" i="67"/>
  <c r="C50" i="67"/>
  <c r="B50" i="67"/>
  <c r="D49" i="67"/>
  <c r="C49" i="67"/>
  <c r="B49" i="67"/>
  <c r="E48" i="67"/>
  <c r="E47" i="67"/>
  <c r="E44" i="67"/>
  <c r="D43" i="67"/>
  <c r="C43" i="67"/>
  <c r="B43" i="67"/>
  <c r="E42" i="67"/>
  <c r="E41" i="67"/>
  <c r="D40" i="67"/>
  <c r="C40" i="67"/>
  <c r="B40" i="67"/>
  <c r="D39" i="67"/>
  <c r="C39" i="67"/>
  <c r="B39" i="67"/>
  <c r="E38" i="67"/>
  <c r="E37" i="67"/>
  <c r="E40" i="67" l="1"/>
  <c r="B56" i="67"/>
  <c r="B19" i="67" s="1"/>
  <c r="C46" i="67"/>
  <c r="C7" i="67" s="1"/>
  <c r="C56" i="67"/>
  <c r="C19" i="67" s="1"/>
  <c r="B46" i="67"/>
  <c r="B7" i="67" s="1"/>
  <c r="E50" i="67"/>
  <c r="E43" i="67"/>
  <c r="E49" i="67"/>
  <c r="D56" i="67"/>
  <c r="D19" i="67" s="1"/>
  <c r="D46" i="67"/>
  <c r="E53" i="67"/>
  <c r="E39" i="67"/>
  <c r="C57" i="67" l="1"/>
  <c r="E56" i="67"/>
  <c r="E19" i="67"/>
  <c r="D57" i="67"/>
  <c r="D7" i="67"/>
  <c r="B57" i="67"/>
  <c r="E46" i="67"/>
  <c r="D27" i="11"/>
  <c r="E57" i="67" l="1"/>
  <c r="E58" i="67" s="1"/>
  <c r="I21" i="9"/>
  <c r="I31" i="9"/>
  <c r="I32" i="9"/>
  <c r="I33" i="9"/>
  <c r="I34" i="9"/>
  <c r="I22" i="9" l="1"/>
  <c r="K22" i="9" s="1"/>
  <c r="G9" i="25" l="1"/>
  <c r="G10" i="25"/>
  <c r="G11" i="25"/>
  <c r="G12" i="25"/>
  <c r="G13" i="25"/>
  <c r="G8" i="25"/>
  <c r="G92" i="17"/>
  <c r="C92" i="17"/>
  <c r="D89" i="17"/>
  <c r="D92" i="17" s="1"/>
  <c r="E89" i="17"/>
  <c r="E92" i="17" s="1"/>
  <c r="F89" i="17"/>
  <c r="F91" i="17" s="1"/>
  <c r="G91" i="17"/>
  <c r="F92" i="17" l="1"/>
  <c r="E91" i="17"/>
  <c r="D91" i="17"/>
  <c r="I43" i="18"/>
  <c r="E26" i="67" l="1"/>
  <c r="E23" i="67"/>
  <c r="E15" i="67"/>
  <c r="E12" i="67"/>
  <c r="E11" i="67"/>
  <c r="E20" i="67"/>
  <c r="E8" i="67"/>
  <c r="E7" i="67"/>
  <c r="D14" i="67" l="1"/>
  <c r="D25" i="67"/>
  <c r="D22" i="67"/>
  <c r="D21" i="67"/>
  <c r="D9" i="67"/>
  <c r="D18" i="67" l="1"/>
  <c r="D29" i="67"/>
  <c r="D30" i="67" l="1"/>
  <c r="E47" i="22" l="1"/>
  <c r="A47" i="22"/>
  <c r="D41" i="22"/>
  <c r="E10" i="53" l="1"/>
  <c r="D10" i="53"/>
  <c r="E5" i="53"/>
  <c r="D5" i="53"/>
  <c r="B18" i="45" l="1"/>
  <c r="F61" i="12" l="1"/>
  <c r="F62" i="12"/>
  <c r="D81" i="12"/>
  <c r="D83" i="12" s="1"/>
  <c r="E81" i="12"/>
  <c r="E83" i="12" s="1"/>
  <c r="F80" i="12"/>
  <c r="F78" i="12"/>
  <c r="F77" i="12"/>
  <c r="F72" i="12"/>
  <c r="F57" i="12"/>
  <c r="F56" i="12"/>
  <c r="F54" i="12"/>
  <c r="F53" i="12"/>
  <c r="F50" i="12"/>
  <c r="F73" i="12" l="1"/>
  <c r="F75" i="12"/>
  <c r="F74" i="12"/>
  <c r="F48" i="12"/>
  <c r="F45" i="12"/>
  <c r="F47" i="12"/>
  <c r="F49" i="12"/>
  <c r="F51" i="12"/>
  <c r="F52" i="12"/>
  <c r="F46" i="12"/>
  <c r="F55" i="12"/>
  <c r="B6" i="23" l="1"/>
  <c r="B5" i="23"/>
  <c r="C27" i="11" l="1"/>
  <c r="C25" i="67" l="1"/>
  <c r="B25" i="67"/>
  <c r="C22" i="67"/>
  <c r="B22" i="67"/>
  <c r="C21" i="67"/>
  <c r="B21" i="67"/>
  <c r="C14" i="67"/>
  <c r="B14" i="67"/>
  <c r="C9" i="67"/>
  <c r="B9" i="67"/>
  <c r="E14" i="67" l="1"/>
  <c r="E9" i="67"/>
  <c r="E10" i="67"/>
  <c r="E22" i="67"/>
  <c r="C29" i="67"/>
  <c r="E21" i="67"/>
  <c r="E25" i="67"/>
  <c r="B18" i="67"/>
  <c r="B29" i="67"/>
  <c r="C18" i="67"/>
  <c r="C30" i="67" l="1"/>
  <c r="E29" i="67"/>
  <c r="E18" i="67"/>
  <c r="B30" i="67"/>
  <c r="E112" i="25"/>
  <c r="C34" i="27"/>
  <c r="J14" i="17"/>
  <c r="J81" i="17"/>
  <c r="D70" i="17"/>
  <c r="E70" i="17"/>
  <c r="F70" i="17"/>
  <c r="G70" i="17"/>
  <c r="H70" i="17"/>
  <c r="I70" i="17"/>
  <c r="I80" i="17" s="1"/>
  <c r="I27" i="17" s="1"/>
  <c r="C70" i="17"/>
  <c r="J69" i="17"/>
  <c r="C67" i="17"/>
  <c r="C21" i="17" s="1"/>
  <c r="J66" i="17"/>
  <c r="J65" i="17"/>
  <c r="D64" i="17"/>
  <c r="D67" i="17" s="1"/>
  <c r="D21" i="17" s="1"/>
  <c r="E64" i="17"/>
  <c r="E67" i="17" s="1"/>
  <c r="E21" i="17" s="1"/>
  <c r="F64" i="17"/>
  <c r="F67" i="17" s="1"/>
  <c r="F21" i="17" s="1"/>
  <c r="G64" i="17"/>
  <c r="G67" i="17" s="1"/>
  <c r="G21" i="17" s="1"/>
  <c r="H64" i="17"/>
  <c r="I64" i="17"/>
  <c r="I67" i="17" s="1"/>
  <c r="I21" i="17" s="1"/>
  <c r="J63" i="17"/>
  <c r="J62" i="17"/>
  <c r="D55" i="17"/>
  <c r="E55" i="17"/>
  <c r="F55" i="17"/>
  <c r="G55" i="17"/>
  <c r="H55" i="17"/>
  <c r="I55" i="17"/>
  <c r="C55" i="17"/>
  <c r="H50" i="17"/>
  <c r="I50" i="17"/>
  <c r="D49" i="17"/>
  <c r="E49" i="17"/>
  <c r="F49" i="17"/>
  <c r="G49" i="17"/>
  <c r="H49" i="17"/>
  <c r="I49" i="17"/>
  <c r="C49" i="17"/>
  <c r="J48" i="17"/>
  <c r="I39" i="9"/>
  <c r="I38" i="9"/>
  <c r="I37" i="9"/>
  <c r="I36" i="9"/>
  <c r="I35" i="9"/>
  <c r="K34" i="9"/>
  <c r="K33" i="9"/>
  <c r="I30" i="9"/>
  <c r="I29" i="9"/>
  <c r="I27" i="9"/>
  <c r="K27" i="9" s="1"/>
  <c r="I26" i="9"/>
  <c r="K26" i="9" s="1"/>
  <c r="I25" i="9"/>
  <c r="I61" i="17" l="1"/>
  <c r="I82" i="17" s="1"/>
  <c r="C51" i="27"/>
  <c r="J70" i="17"/>
  <c r="J64" i="17"/>
  <c r="H61" i="17"/>
  <c r="J49" i="17"/>
  <c r="E30" i="67"/>
  <c r="E31" i="67" s="1"/>
  <c r="H67" i="17"/>
  <c r="H21" i="17" s="1"/>
  <c r="C58" i="12"/>
  <c r="D58" i="12"/>
  <c r="F58" i="12"/>
  <c r="D60" i="12" l="1"/>
  <c r="D63" i="12" s="1"/>
  <c r="C63" i="12"/>
  <c r="J67" i="17"/>
  <c r="C69" i="12"/>
  <c r="E58" i="12"/>
  <c r="E60" i="12" l="1"/>
  <c r="F60" i="12" s="1"/>
  <c r="F63" i="12" s="1"/>
  <c r="F69" i="12" s="1"/>
  <c r="D114" i="17"/>
  <c r="C114" i="17"/>
  <c r="D102" i="17"/>
  <c r="C102" i="17"/>
  <c r="D96" i="17"/>
  <c r="D107" i="17" s="1"/>
  <c r="C96" i="17"/>
  <c r="C107" i="17" s="1"/>
  <c r="J79" i="17"/>
  <c r="J78" i="17"/>
  <c r="J77" i="17"/>
  <c r="J76" i="17"/>
  <c r="H75" i="17"/>
  <c r="G75" i="17"/>
  <c r="F75" i="17"/>
  <c r="E75" i="17"/>
  <c r="D75" i="17"/>
  <c r="C75" i="17"/>
  <c r="J74" i="17"/>
  <c r="J73" i="17"/>
  <c r="J72" i="17"/>
  <c r="H71" i="17"/>
  <c r="G71" i="17"/>
  <c r="F71" i="17"/>
  <c r="E71" i="17"/>
  <c r="D71" i="17"/>
  <c r="C71" i="17"/>
  <c r="J68" i="17"/>
  <c r="J60" i="17"/>
  <c r="J59" i="17"/>
  <c r="J54" i="17"/>
  <c r="J53" i="17"/>
  <c r="J52" i="17"/>
  <c r="J51" i="17"/>
  <c r="G50" i="17"/>
  <c r="G61" i="17" s="1"/>
  <c r="F50" i="17"/>
  <c r="F61" i="17" s="1"/>
  <c r="F7" i="17" s="1"/>
  <c r="F9" i="17" s="1"/>
  <c r="E50" i="17"/>
  <c r="E61" i="17" s="1"/>
  <c r="D50" i="17"/>
  <c r="D61" i="17" s="1"/>
  <c r="D7" i="17" s="1"/>
  <c r="D9" i="17" s="1"/>
  <c r="C50" i="17"/>
  <c r="C61" i="17" s="1"/>
  <c r="J40" i="17"/>
  <c r="J38" i="17"/>
  <c r="J37" i="17"/>
  <c r="J36" i="17"/>
  <c r="J35" i="17"/>
  <c r="H34" i="17"/>
  <c r="F34" i="17"/>
  <c r="E34" i="17"/>
  <c r="D34" i="17"/>
  <c r="C34" i="17"/>
  <c r="J33" i="17"/>
  <c r="J32" i="17"/>
  <c r="J31" i="17"/>
  <c r="H30" i="17"/>
  <c r="G30" i="17"/>
  <c r="F30" i="17"/>
  <c r="E30" i="17"/>
  <c r="D30" i="17"/>
  <c r="C30" i="17"/>
  <c r="I29" i="17"/>
  <c r="I39" i="17" s="1"/>
  <c r="J25" i="17"/>
  <c r="J24" i="17"/>
  <c r="I23" i="17"/>
  <c r="I26" i="17" s="1"/>
  <c r="H23" i="17"/>
  <c r="H26" i="17" s="1"/>
  <c r="G23" i="17"/>
  <c r="G26" i="17" s="1"/>
  <c r="F23" i="17"/>
  <c r="E23" i="17"/>
  <c r="E26" i="17" s="1"/>
  <c r="D23" i="17"/>
  <c r="D26" i="17" s="1"/>
  <c r="C23" i="17"/>
  <c r="C26" i="17" s="1"/>
  <c r="J22" i="17"/>
  <c r="J21" i="17"/>
  <c r="J19" i="17"/>
  <c r="J18" i="17"/>
  <c r="J17" i="17"/>
  <c r="J16" i="17"/>
  <c r="I15" i="17"/>
  <c r="H15" i="17"/>
  <c r="G15" i="17"/>
  <c r="F15" i="17"/>
  <c r="E15" i="17"/>
  <c r="D15" i="17"/>
  <c r="C15" i="17"/>
  <c r="J12" i="17"/>
  <c r="J11" i="17"/>
  <c r="I10" i="17"/>
  <c r="H10" i="17"/>
  <c r="G10" i="17"/>
  <c r="F10" i="17"/>
  <c r="E10" i="17"/>
  <c r="D10" i="17"/>
  <c r="C10" i="17"/>
  <c r="J8" i="17"/>
  <c r="H7" i="17"/>
  <c r="H9" i="17" s="1"/>
  <c r="C81" i="12"/>
  <c r="F81" i="12" s="1"/>
  <c r="F83" i="12" s="1"/>
  <c r="E63" i="12" l="1"/>
  <c r="F20" i="17"/>
  <c r="D80" i="17"/>
  <c r="D84" i="17" s="1"/>
  <c r="H80" i="17"/>
  <c r="H27" i="17" s="1"/>
  <c r="H29" i="17" s="1"/>
  <c r="H39" i="17" s="1"/>
  <c r="D20" i="17"/>
  <c r="E80" i="17"/>
  <c r="E27" i="17" s="1"/>
  <c r="E29" i="17" s="1"/>
  <c r="E39" i="17" s="1"/>
  <c r="D27" i="17"/>
  <c r="D29" i="17" s="1"/>
  <c r="D39" i="17" s="1"/>
  <c r="F80" i="17"/>
  <c r="F84" i="17" s="1"/>
  <c r="G80" i="17"/>
  <c r="G27" i="17" s="1"/>
  <c r="G29" i="17" s="1"/>
  <c r="G39" i="17" s="1"/>
  <c r="J75" i="17"/>
  <c r="C80" i="17"/>
  <c r="C27" i="17" s="1"/>
  <c r="C29" i="17" s="1"/>
  <c r="F84" i="12"/>
  <c r="H20" i="17"/>
  <c r="J34" i="17"/>
  <c r="J30" i="17"/>
  <c r="C83" i="12"/>
  <c r="C84" i="12" s="1"/>
  <c r="J23" i="17"/>
  <c r="J71" i="17"/>
  <c r="J61" i="17"/>
  <c r="J50" i="17"/>
  <c r="J55" i="17"/>
  <c r="J15" i="17"/>
  <c r="J10" i="17"/>
  <c r="I7" i="17"/>
  <c r="I9" i="17" s="1"/>
  <c r="I20" i="17" s="1"/>
  <c r="I41" i="17" s="1"/>
  <c r="C7" i="17"/>
  <c r="G7" i="17"/>
  <c r="G9" i="17" s="1"/>
  <c r="G20" i="17" s="1"/>
  <c r="E7" i="17"/>
  <c r="E9" i="17" s="1"/>
  <c r="E20" i="17" s="1"/>
  <c r="J28" i="17"/>
  <c r="F26" i="17"/>
  <c r="J26" i="17" s="1"/>
  <c r="J47" i="17"/>
  <c r="E82" i="17" l="1"/>
  <c r="D82" i="17"/>
  <c r="D41" i="17"/>
  <c r="H82" i="17"/>
  <c r="E84" i="17"/>
  <c r="C82" i="17"/>
  <c r="H41" i="17"/>
  <c r="F27" i="17"/>
  <c r="F29" i="17" s="1"/>
  <c r="F39" i="17" s="1"/>
  <c r="F41" i="17" s="1"/>
  <c r="F82" i="17"/>
  <c r="E41" i="17"/>
  <c r="G41" i="17"/>
  <c r="J80" i="17"/>
  <c r="G82" i="17"/>
  <c r="C39" i="17"/>
  <c r="J7" i="17"/>
  <c r="C9" i="17"/>
  <c r="J82" i="17" l="1"/>
  <c r="J83" i="17" s="1"/>
  <c r="J29" i="17"/>
  <c r="J39" i="17" s="1"/>
  <c r="J27" i="17"/>
  <c r="J9" i="17"/>
  <c r="J20" i="17" s="1"/>
  <c r="C20" i="17"/>
  <c r="C41" i="17" s="1"/>
  <c r="J41" i="17" l="1"/>
  <c r="J42" i="17" s="1"/>
  <c r="C91" i="17" l="1"/>
  <c r="E99" i="25" l="1"/>
  <c r="E114" i="25"/>
  <c r="E104" i="25" l="1"/>
  <c r="I16" i="9" l="1"/>
  <c r="I17" i="9"/>
  <c r="I18" i="9"/>
  <c r="I19" i="9"/>
  <c r="I20" i="9"/>
  <c r="I13" i="9"/>
  <c r="K13" i="9" s="1"/>
  <c r="I14" i="9"/>
  <c r="K14" i="9" s="1"/>
  <c r="J28" i="9"/>
  <c r="D28" i="9"/>
  <c r="E28" i="9"/>
  <c r="F28" i="9"/>
  <c r="G28" i="9"/>
  <c r="H28" i="9"/>
  <c r="I28" i="9"/>
  <c r="C28" i="9"/>
  <c r="C9" i="11" l="1"/>
  <c r="C10" i="11"/>
  <c r="C11" i="11"/>
  <c r="C6" i="11"/>
  <c r="C7" i="11"/>
  <c r="C8" i="11"/>
  <c r="C5" i="11"/>
  <c r="E37" i="18" l="1"/>
  <c r="B13" i="37" l="1"/>
  <c r="B106" i="27"/>
  <c r="B101" i="27"/>
  <c r="F73" i="27"/>
  <c r="H74" i="27"/>
  <c r="G74" i="27"/>
  <c r="F74" i="27"/>
  <c r="E74" i="27"/>
  <c r="D74" i="27"/>
  <c r="C74" i="27"/>
  <c r="H73" i="27"/>
  <c r="G73" i="27"/>
  <c r="E75" i="27"/>
  <c r="D73" i="27"/>
  <c r="C9" i="12"/>
  <c r="B35" i="27" l="1"/>
  <c r="B117" i="27"/>
  <c r="F75" i="27"/>
  <c r="B31" i="27"/>
  <c r="B34" i="27" s="1"/>
  <c r="C75" i="27"/>
  <c r="E73" i="27"/>
  <c r="G75" i="27"/>
  <c r="D75" i="27"/>
  <c r="B9" i="27"/>
  <c r="B51" i="27" l="1"/>
  <c r="C5" i="47"/>
  <c r="C10" i="47" s="1"/>
  <c r="B5" i="47"/>
  <c r="B34" i="45"/>
  <c r="B10" i="47" l="1"/>
  <c r="B118" i="27"/>
  <c r="E20" i="8"/>
  <c r="D20" i="8"/>
  <c r="I47" i="18" l="1"/>
  <c r="I45" i="18" l="1"/>
  <c r="I38" i="18"/>
  <c r="I35" i="18"/>
  <c r="H36" i="18"/>
  <c r="H46" i="18" s="1"/>
  <c r="H26" i="18"/>
  <c r="I29" i="18"/>
  <c r="I30" i="18"/>
  <c r="I31" i="18"/>
  <c r="I32" i="18"/>
  <c r="I28" i="18"/>
  <c r="I21" i="18"/>
  <c r="I22" i="18"/>
  <c r="I23" i="18"/>
  <c r="I24" i="18"/>
  <c r="I25" i="18"/>
  <c r="I16" i="18"/>
  <c r="I20" i="18"/>
  <c r="C87" i="12" l="1"/>
  <c r="B4" i="23"/>
  <c r="C17" i="45"/>
  <c r="B6" i="45"/>
  <c r="B17" i="45" s="1"/>
  <c r="D64" i="24"/>
  <c r="B5" i="24"/>
  <c r="B4" i="37"/>
  <c r="C120" i="27"/>
  <c r="B4" i="27"/>
  <c r="B14" i="27" s="1"/>
  <c r="B64" i="24" l="1"/>
  <c r="C129" i="27"/>
  <c r="C14" i="27"/>
  <c r="B98" i="27"/>
  <c r="B35" i="23"/>
  <c r="C98" i="27"/>
  <c r="B120" i="27"/>
  <c r="B105" i="27"/>
  <c r="B129" i="27"/>
  <c r="C105" i="27"/>
  <c r="H61" i="22"/>
  <c r="B55" i="22"/>
  <c r="D55" i="22"/>
  <c r="D13" i="50"/>
  <c r="H15" i="18" l="1"/>
  <c r="H17" i="18" s="1"/>
  <c r="C55" i="22"/>
  <c r="D5" i="12"/>
  <c r="C5" i="12"/>
  <c r="C5" i="10"/>
  <c r="C23" i="10" s="1"/>
  <c r="B5" i="10"/>
  <c r="B23" i="10" s="1"/>
  <c r="E65" i="23" l="1"/>
  <c r="D64" i="23"/>
  <c r="C64" i="23"/>
  <c r="E63" i="23"/>
  <c r="E62" i="23"/>
  <c r="E61" i="23"/>
  <c r="E60" i="23"/>
  <c r="E59" i="23"/>
  <c r="B64" i="23"/>
  <c r="E58" i="23"/>
  <c r="E56" i="23"/>
  <c r="E51" i="23"/>
  <c r="E50" i="23"/>
  <c r="C49" i="23" l="1"/>
  <c r="C55" i="23" s="1"/>
  <c r="C57" i="23" s="1"/>
  <c r="C66" i="23"/>
  <c r="B49" i="23"/>
  <c r="B66" i="23"/>
  <c r="D49" i="23"/>
  <c r="D55" i="23" s="1"/>
  <c r="D57" i="23" s="1"/>
  <c r="D66" i="23"/>
  <c r="E64" i="23"/>
  <c r="B55" i="23"/>
  <c r="E49" i="23" l="1"/>
  <c r="E66" i="23"/>
  <c r="E55" i="23"/>
  <c r="B57" i="23"/>
  <c r="E57" i="23" s="1"/>
  <c r="B4" i="47"/>
  <c r="C4" i="47"/>
  <c r="C71" i="24" l="1"/>
  <c r="C41" i="23" l="1"/>
  <c r="B41" i="23"/>
  <c r="B9" i="23"/>
  <c r="B11" i="23" s="1"/>
  <c r="D9" i="12" l="1"/>
  <c r="D6" i="12"/>
  <c r="C6" i="12"/>
  <c r="C13" i="12" l="1"/>
  <c r="D13" i="12"/>
  <c r="D91" i="12"/>
  <c r="D14" i="12" l="1"/>
  <c r="C14" i="12"/>
  <c r="C91" i="12"/>
  <c r="D28" i="11"/>
  <c r="C28" i="11"/>
  <c r="I42" i="18" l="1"/>
  <c r="I27" i="18"/>
  <c r="H18" i="18"/>
  <c r="I19" i="18"/>
  <c r="H33" i="18" l="1"/>
  <c r="H48" i="18" s="1"/>
  <c r="C18" i="45" l="1"/>
  <c r="C7" i="45"/>
  <c r="C10" i="45" s="1"/>
  <c r="B7" i="45"/>
  <c r="B10" i="45" s="1"/>
  <c r="E71" i="24"/>
  <c r="C17" i="24"/>
  <c r="C13" i="37"/>
  <c r="C132" i="27"/>
  <c r="B132" i="27"/>
  <c r="C106" i="27"/>
  <c r="C117" i="27" s="1"/>
  <c r="C101" i="27"/>
  <c r="H84" i="27"/>
  <c r="H92" i="27" s="1"/>
  <c r="B82" i="27"/>
  <c r="B70" i="27"/>
  <c r="B74" i="27" s="1"/>
  <c r="B69" i="27"/>
  <c r="H67" i="27"/>
  <c r="H75" i="27" s="1"/>
  <c r="B65" i="27"/>
  <c r="B67" i="27" s="1"/>
  <c r="C23" i="27"/>
  <c r="B23" i="27"/>
  <c r="C17" i="27"/>
  <c r="B17" i="27"/>
  <c r="C5" i="27"/>
  <c r="C10" i="27" s="1"/>
  <c r="C20" i="10"/>
  <c r="B20" i="10"/>
  <c r="B84" i="27" l="1"/>
  <c r="B92" i="27" s="1"/>
  <c r="B90" i="27"/>
  <c r="C118" i="27"/>
  <c r="C34" i="45"/>
  <c r="C35" i="45" s="1"/>
  <c r="C72" i="24"/>
  <c r="B17" i="24"/>
  <c r="B121" i="27"/>
  <c r="B123" i="27" s="1"/>
  <c r="B71" i="27"/>
  <c r="B75" i="27" s="1"/>
  <c r="B10" i="27"/>
  <c r="E72" i="24"/>
  <c r="B29" i="27"/>
  <c r="B53" i="27" s="1"/>
  <c r="C9" i="27"/>
  <c r="C29" i="27"/>
  <c r="C53" i="27" s="1"/>
  <c r="B35" i="45"/>
  <c r="C121" i="27"/>
  <c r="C125" i="27" s="1"/>
  <c r="B73" i="27"/>
  <c r="B76" i="27" l="1"/>
  <c r="C56" i="27"/>
  <c r="B56" i="27"/>
  <c r="B125" i="27"/>
  <c r="I12" i="9" l="1"/>
  <c r="K15" i="9"/>
  <c r="C13" i="50" l="1"/>
  <c r="B43" i="22" l="1"/>
  <c r="D43" i="22"/>
  <c r="C43" i="22" l="1"/>
  <c r="C10" i="36" l="1"/>
  <c r="C4" i="60"/>
  <c r="B4" i="60"/>
  <c r="D66" i="25"/>
  <c r="D122" i="25" s="1"/>
  <c r="C66" i="25"/>
  <c r="C122" i="25" s="1"/>
  <c r="D51" i="25"/>
  <c r="C51" i="25"/>
  <c r="D5" i="11" l="1"/>
  <c r="J40" i="9"/>
  <c r="J5" i="9" s="1"/>
  <c r="K30" i="9"/>
  <c r="K31" i="9"/>
  <c r="K32" i="9"/>
  <c r="K35" i="9"/>
  <c r="K36" i="9"/>
  <c r="K37" i="9"/>
  <c r="K38" i="9"/>
  <c r="K39" i="9"/>
  <c r="K29" i="9"/>
  <c r="K28" i="9"/>
  <c r="K25" i="9"/>
  <c r="H40" i="9"/>
  <c r="H5" i="9" s="1"/>
  <c r="F40" i="9"/>
  <c r="F5" i="9" s="1"/>
  <c r="G40" i="9"/>
  <c r="G5" i="9" s="1"/>
  <c r="E40" i="9"/>
  <c r="E5" i="9" s="1"/>
  <c r="D40" i="9"/>
  <c r="D5" i="9" s="1"/>
  <c r="C40" i="9"/>
  <c r="C5" i="9" s="1"/>
  <c r="I40" i="9" l="1"/>
  <c r="K40" i="9" s="1"/>
  <c r="E26" i="18" l="1"/>
  <c r="D44" i="22" l="1"/>
  <c r="D4" i="56" l="1"/>
  <c r="C4" i="56"/>
  <c r="C14" i="60" l="1"/>
  <c r="B11" i="60"/>
  <c r="B14" i="60" s="1"/>
  <c r="D129" i="25"/>
  <c r="C123" i="25" s="1"/>
  <c r="E115" i="25"/>
  <c r="E113" i="25"/>
  <c r="E111" i="25"/>
  <c r="E110" i="25"/>
  <c r="E109" i="25"/>
  <c r="E107" i="25"/>
  <c r="D106" i="25"/>
  <c r="C106" i="25"/>
  <c r="E105" i="25"/>
  <c r="E103" i="25"/>
  <c r="E102" i="25"/>
  <c r="E101" i="25"/>
  <c r="E100" i="25"/>
  <c r="E98" i="25"/>
  <c r="D97" i="25"/>
  <c r="C97" i="25"/>
  <c r="E94" i="25"/>
  <c r="E93" i="25"/>
  <c r="E92" i="25"/>
  <c r="E91" i="25"/>
  <c r="E90" i="25"/>
  <c r="E89" i="25"/>
  <c r="D85" i="25"/>
  <c r="C85" i="25"/>
  <c r="E84" i="25"/>
  <c r="E83" i="25"/>
  <c r="E82" i="25"/>
  <c r="E81" i="25"/>
  <c r="E80" i="25"/>
  <c r="E79" i="25"/>
  <c r="D78" i="25"/>
  <c r="C78" i="25"/>
  <c r="D71" i="25"/>
  <c r="C71" i="25"/>
  <c r="D61" i="25"/>
  <c r="C61" i="25"/>
  <c r="D56" i="25"/>
  <c r="C56" i="25"/>
  <c r="D53" i="25"/>
  <c r="C53" i="25"/>
  <c r="E25" i="25"/>
  <c r="C25" i="25"/>
  <c r="C4" i="11"/>
  <c r="D4" i="11"/>
  <c r="D6" i="11"/>
  <c r="D7" i="11"/>
  <c r="D8" i="11"/>
  <c r="D9" i="11"/>
  <c r="D10" i="11"/>
  <c r="D11" i="11"/>
  <c r="C12" i="11"/>
  <c r="D12" i="11"/>
  <c r="C23" i="11"/>
  <c r="D23" i="11"/>
  <c r="D46" i="25" l="1"/>
  <c r="D45" i="25"/>
  <c r="D47" i="25" s="1"/>
  <c r="D24" i="25"/>
  <c r="D116" i="25"/>
  <c r="D77" i="25" s="1"/>
  <c r="D95" i="25" s="1"/>
  <c r="E106" i="25"/>
  <c r="C129" i="25"/>
  <c r="C130" i="25" s="1"/>
  <c r="D130" i="25"/>
  <c r="D13" i="11"/>
  <c r="D18" i="11" s="1"/>
  <c r="E78" i="25"/>
  <c r="E85" i="25"/>
  <c r="C13" i="11"/>
  <c r="C18" i="11" s="1"/>
  <c r="E97" i="25"/>
  <c r="C116" i="25"/>
  <c r="C77" i="25" s="1"/>
  <c r="C95" i="25" s="1"/>
  <c r="D60" i="25"/>
  <c r="C52" i="25" l="1"/>
  <c r="C60" i="25" s="1"/>
  <c r="D25" i="25"/>
  <c r="F25" i="25"/>
  <c r="E77" i="25"/>
  <c r="E95" i="25" s="1"/>
  <c r="E116" i="25"/>
  <c r="I49" i="18" l="1"/>
  <c r="I10" i="9" l="1"/>
  <c r="K10" i="9" s="1"/>
  <c r="K16" i="9" l="1"/>
  <c r="I11" i="9" l="1"/>
  <c r="K11" i="9" s="1"/>
  <c r="C59" i="36" l="1"/>
  <c r="C49" i="36"/>
  <c r="C44" i="36"/>
  <c r="C37" i="36"/>
  <c r="C16" i="36"/>
  <c r="C11" i="36"/>
  <c r="C21" i="35"/>
  <c r="C13" i="35"/>
  <c r="C37" i="31"/>
  <c r="C29" i="31"/>
  <c r="C33" i="59"/>
  <c r="B14" i="59"/>
  <c r="B15" i="59" s="1"/>
  <c r="C14" i="59"/>
  <c r="C15" i="59" s="1"/>
  <c r="E34" i="18"/>
  <c r="D44" i="6" l="1"/>
  <c r="D39" i="6"/>
  <c r="D32" i="6"/>
  <c r="D26" i="6"/>
  <c r="D6" i="6"/>
  <c r="E12" i="8"/>
  <c r="E4" i="8"/>
  <c r="E3" i="8" s="1"/>
  <c r="E15" i="3"/>
  <c r="E3" i="3"/>
  <c r="E7" i="7"/>
  <c r="E21" i="7" l="1"/>
  <c r="E29" i="8"/>
  <c r="D19" i="11"/>
  <c r="E25" i="3"/>
  <c r="D54" i="6"/>
  <c r="D37" i="6"/>
  <c r="L67" i="4" l="1"/>
  <c r="L68" i="4"/>
  <c r="G30" i="8"/>
  <c r="D10" i="56"/>
  <c r="C10" i="56"/>
  <c r="E26" i="7" l="1"/>
  <c r="C6" i="6"/>
  <c r="E29" i="7" l="1"/>
  <c r="E31" i="7" s="1"/>
  <c r="D5" i="6" s="1"/>
  <c r="L72" i="4"/>
  <c r="E38" i="7"/>
  <c r="E37" i="7"/>
  <c r="E3" i="53"/>
  <c r="E34" i="7"/>
  <c r="L75" i="4" l="1"/>
  <c r="E41" i="7"/>
  <c r="E40" i="7"/>
  <c r="D11" i="64"/>
  <c r="D6" i="14"/>
  <c r="D24" i="6"/>
  <c r="D55" i="6" s="1"/>
  <c r="D56" i="6" s="1"/>
  <c r="E13" i="53"/>
  <c r="E15" i="53" s="1"/>
  <c r="K20" i="9" l="1"/>
  <c r="C25" i="59" l="1"/>
  <c r="C26" i="59" l="1"/>
  <c r="C6" i="35" l="1"/>
  <c r="C18" i="35" s="1"/>
  <c r="B6" i="35"/>
  <c r="B18" i="35" s="1"/>
  <c r="D35" i="50"/>
  <c r="D25" i="50"/>
  <c r="D20" i="50"/>
  <c r="E36" i="18"/>
  <c r="D30" i="50" l="1"/>
  <c r="C8" i="36"/>
  <c r="F8" i="9"/>
  <c r="F23" i="9" s="1"/>
  <c r="D37" i="50" l="1"/>
  <c r="C19" i="50"/>
  <c r="C13" i="47"/>
  <c r="B37" i="36" l="1"/>
  <c r="B44" i="36" l="1"/>
  <c r="B59" i="36"/>
  <c r="B49" i="36"/>
  <c r="G18" i="18"/>
  <c r="B11" i="36"/>
  <c r="B20" i="64"/>
  <c r="C20" i="64" s="1"/>
  <c r="B33" i="59"/>
  <c r="B25" i="59"/>
  <c r="B26" i="59" s="1"/>
  <c r="C35" i="22"/>
  <c r="C36" i="22" s="1"/>
  <c r="B35" i="22"/>
  <c r="B36" i="22" s="1"/>
  <c r="B21" i="35"/>
  <c r="B13" i="35"/>
  <c r="D14" i="31"/>
  <c r="D25" i="31"/>
  <c r="D18" i="31"/>
  <c r="D29" i="31" s="1"/>
  <c r="D5" i="31"/>
  <c r="B4" i="36"/>
  <c r="B10" i="36"/>
  <c r="B16" i="36"/>
  <c r="C5" i="31"/>
  <c r="C14" i="31"/>
  <c r="C18" i="31"/>
  <c r="C25" i="31"/>
  <c r="B5" i="34"/>
  <c r="C5" i="34"/>
  <c r="B6" i="34"/>
  <c r="C6" i="34"/>
  <c r="B7" i="34"/>
  <c r="C7" i="34"/>
  <c r="B8" i="34"/>
  <c r="C8" i="34"/>
  <c r="B12" i="23"/>
  <c r="C12" i="23"/>
  <c r="B44" i="23"/>
  <c r="C44" i="23"/>
  <c r="D67" i="23"/>
  <c r="D68" i="23"/>
  <c r="C6" i="50"/>
  <c r="D6" i="50"/>
  <c r="D14" i="50"/>
  <c r="C18" i="50"/>
  <c r="D18" i="50"/>
  <c r="C20" i="50"/>
  <c r="C25" i="50"/>
  <c r="B40" i="50"/>
  <c r="E45" i="50"/>
  <c r="F45" i="50"/>
  <c r="G45" i="50"/>
  <c r="H45" i="50"/>
  <c r="C6" i="18"/>
  <c r="D6" i="18"/>
  <c r="D9" i="18"/>
  <c r="D10" i="18" s="1"/>
  <c r="C18" i="18"/>
  <c r="D18" i="18"/>
  <c r="F18" i="18"/>
  <c r="E18" i="18"/>
  <c r="C26" i="18"/>
  <c r="D26" i="18"/>
  <c r="F26" i="18"/>
  <c r="G26" i="18"/>
  <c r="F37" i="18"/>
  <c r="F41" i="18"/>
  <c r="C37" i="18"/>
  <c r="D37" i="18"/>
  <c r="G37" i="18"/>
  <c r="C41" i="18"/>
  <c r="D41" i="18"/>
  <c r="E41" i="18"/>
  <c r="E46" i="18" s="1"/>
  <c r="G41" i="18"/>
  <c r="I44" i="18"/>
  <c r="C34" i="18"/>
  <c r="C5" i="14"/>
  <c r="D5" i="14"/>
  <c r="C7" i="14"/>
  <c r="D7" i="14"/>
  <c r="C9" i="14"/>
  <c r="D9" i="14"/>
  <c r="C16" i="14"/>
  <c r="D16" i="14"/>
  <c r="C18" i="14"/>
  <c r="C22" i="14" s="1"/>
  <c r="D18" i="14"/>
  <c r="D22" i="14" s="1"/>
  <c r="C3" i="6"/>
  <c r="D3" i="6"/>
  <c r="C26" i="6"/>
  <c r="C32" i="6"/>
  <c r="C39" i="6"/>
  <c r="C44" i="6"/>
  <c r="D26" i="64"/>
  <c r="E26" i="64" s="1"/>
  <c r="I6" i="9"/>
  <c r="K6" i="9" s="1"/>
  <c r="I7" i="9"/>
  <c r="K7" i="9" s="1"/>
  <c r="H8" i="9"/>
  <c r="H23" i="9" s="1"/>
  <c r="I9" i="9"/>
  <c r="K9" i="9" s="1"/>
  <c r="K12" i="9"/>
  <c r="K17" i="9"/>
  <c r="K18" i="9"/>
  <c r="K19" i="9"/>
  <c r="K21" i="9"/>
  <c r="D8" i="9"/>
  <c r="D23" i="9" s="1"/>
  <c r="J8" i="9"/>
  <c r="J23" i="9" s="1"/>
  <c r="D4" i="8"/>
  <c r="D3" i="8" s="1"/>
  <c r="D12" i="8"/>
  <c r="D3" i="3"/>
  <c r="D15" i="3"/>
  <c r="B17" i="64" s="1"/>
  <c r="C17" i="64" s="1"/>
  <c r="D17" i="64"/>
  <c r="E17" i="64" s="1"/>
  <c r="D2" i="53"/>
  <c r="D2" i="7"/>
  <c r="D7" i="7"/>
  <c r="B4" i="64"/>
  <c r="D4" i="64"/>
  <c r="E16" i="2"/>
  <c r="D7" i="64"/>
  <c r="E7" i="64" s="1"/>
  <c r="E12" i="64"/>
  <c r="D19" i="64"/>
  <c r="E19" i="64" s="1"/>
  <c r="C32" i="50"/>
  <c r="C35" i="50" s="1"/>
  <c r="D20" i="64"/>
  <c r="E20" i="64" s="1"/>
  <c r="D16" i="64"/>
  <c r="E16" i="64" s="1"/>
  <c r="D21" i="7" l="1"/>
  <c r="I41" i="18"/>
  <c r="D29" i="8"/>
  <c r="C36" i="18"/>
  <c r="I37" i="18"/>
  <c r="I26" i="18"/>
  <c r="I18" i="18"/>
  <c r="C19" i="11"/>
  <c r="B13" i="47"/>
  <c r="B8" i="64"/>
  <c r="C8" i="64" s="1"/>
  <c r="C54" i="6"/>
  <c r="B26" i="64" s="1"/>
  <c r="C26" i="64" s="1"/>
  <c r="B19" i="64"/>
  <c r="C19" i="64" s="1"/>
  <c r="D25" i="3"/>
  <c r="B7" i="64"/>
  <c r="C7" i="64" s="1"/>
  <c r="B9" i="34"/>
  <c r="C9" i="34"/>
  <c r="E68" i="23"/>
  <c r="B8" i="36"/>
  <c r="D36" i="18"/>
  <c r="D46" i="18" s="1"/>
  <c r="C46" i="18"/>
  <c r="C37" i="6"/>
  <c r="D8" i="64"/>
  <c r="E8" i="64" s="1"/>
  <c r="E67" i="23"/>
  <c r="C8" i="9"/>
  <c r="C23" i="9" s="1"/>
  <c r="D9" i="64"/>
  <c r="E9" i="64" s="1"/>
  <c r="B16" i="64"/>
  <c r="C16" i="64" s="1"/>
  <c r="D18" i="64"/>
  <c r="E18" i="64" s="1"/>
  <c r="I5" i="9"/>
  <c r="K5" i="9" s="1"/>
  <c r="B18" i="64"/>
  <c r="B21" i="64" s="1"/>
  <c r="C21" i="64" s="1"/>
  <c r="D25" i="64"/>
  <c r="E25" i="64" s="1"/>
  <c r="F34" i="18"/>
  <c r="F36" i="18" s="1"/>
  <c r="F46" i="18" s="1"/>
  <c r="C12" i="34"/>
  <c r="C14" i="34" s="1"/>
  <c r="L48" i="4" l="1"/>
  <c r="L47" i="4"/>
  <c r="F30" i="8"/>
  <c r="D26" i="7"/>
  <c r="L51" i="4" s="1"/>
  <c r="C15" i="34"/>
  <c r="C16" i="34" s="1"/>
  <c r="B25" i="64"/>
  <c r="C25" i="64" s="1"/>
  <c r="C15" i="18"/>
  <c r="G34" i="18"/>
  <c r="G36" i="18" s="1"/>
  <c r="G46" i="18" s="1"/>
  <c r="E8" i="9"/>
  <c r="E23" i="9" s="1"/>
  <c r="D21" i="64"/>
  <c r="E21" i="64" s="1"/>
  <c r="B12" i="34"/>
  <c r="B14" i="34" s="1"/>
  <c r="B15" i="34" s="1"/>
  <c r="B16" i="34" s="1"/>
  <c r="C30" i="50"/>
  <c r="C37" i="50" s="1"/>
  <c r="C38" i="50" s="1"/>
  <c r="D38" i="50"/>
  <c r="D10" i="64"/>
  <c r="E10" i="64" s="1"/>
  <c r="G8" i="9"/>
  <c r="G23" i="9" s="1"/>
  <c r="C18" i="64"/>
  <c r="D24" i="64"/>
  <c r="E24" i="64" s="1"/>
  <c r="D15" i="18"/>
  <c r="D17" i="18" s="1"/>
  <c r="D33" i="18" s="1"/>
  <c r="I36" i="18" l="1"/>
  <c r="C17" i="18"/>
  <c r="I34" i="18"/>
  <c r="B9" i="64"/>
  <c r="C9" i="64" s="1"/>
  <c r="I46" i="18"/>
  <c r="E15" i="18"/>
  <c r="E17" i="18" s="1"/>
  <c r="E33" i="18" s="1"/>
  <c r="E48" i="18" s="1"/>
  <c r="G15" i="18"/>
  <c r="I8" i="9"/>
  <c r="I23" i="9" s="1"/>
  <c r="D8" i="14"/>
  <c r="D13" i="14" s="1"/>
  <c r="F15" i="18"/>
  <c r="D48" i="18"/>
  <c r="B10" i="64" l="1"/>
  <c r="C10" i="64" s="1"/>
  <c r="D29" i="7"/>
  <c r="D31" i="7" s="1"/>
  <c r="C33" i="18"/>
  <c r="C48" i="18" s="1"/>
  <c r="F17" i="18"/>
  <c r="F33" i="18" s="1"/>
  <c r="G17" i="18"/>
  <c r="G33" i="18" s="1"/>
  <c r="G48" i="18" s="1"/>
  <c r="I15" i="18"/>
  <c r="K8" i="9"/>
  <c r="K23" i="9" s="1"/>
  <c r="D34" i="7" l="1"/>
  <c r="L54" i="4" s="1"/>
  <c r="C5" i="6"/>
  <c r="C24" i="6" s="1"/>
  <c r="C55" i="6" s="1"/>
  <c r="C59" i="6" s="1"/>
  <c r="C56" i="6" s="1"/>
  <c r="D38" i="7"/>
  <c r="D37" i="7"/>
  <c r="D3" i="53"/>
  <c r="I33" i="18"/>
  <c r="F48" i="18"/>
  <c r="I17" i="18"/>
  <c r="D13" i="64"/>
  <c r="E13" i="64" s="1"/>
  <c r="E11" i="64"/>
  <c r="D41" i="7" l="1"/>
  <c r="D40" i="7"/>
  <c r="C6" i="14"/>
  <c r="C8" i="14" s="1"/>
  <c r="C13" i="14" s="1"/>
  <c r="B11" i="64"/>
  <c r="B13" i="64" s="1"/>
  <c r="C13" i="64" s="1"/>
  <c r="B24" i="64"/>
  <c r="C24" i="64" s="1"/>
  <c r="C9" i="18"/>
  <c r="C10" i="18" s="1"/>
  <c r="I48" i="18"/>
  <c r="D13" i="53"/>
  <c r="D15" i="53" s="1"/>
  <c r="C14" i="50"/>
  <c r="D37" i="31"/>
  <c r="J84" i="18"/>
  <c r="C11" i="64" l="1"/>
  <c r="B93" i="27"/>
  <c r="C21" i="5"/>
</calcChain>
</file>

<file path=xl/comments1.xml><?xml version="1.0" encoding="utf-8"?>
<comments xmlns="http://schemas.openxmlformats.org/spreadsheetml/2006/main">
  <authors>
    <author>Szymon Barton</author>
  </authors>
  <commentList>
    <comment ref="G43" authorId="0" shapeId="0">
      <text>
        <r>
          <rPr>
            <b/>
            <sz val="9"/>
            <color indexed="81"/>
            <rFont val="Tahoma"/>
            <family val="2"/>
            <charset val="238"/>
          </rPr>
          <t>Szymon Barton:</t>
        </r>
        <r>
          <rPr>
            <sz val="9"/>
            <color indexed="81"/>
            <rFont val="Tahoma"/>
            <family val="2"/>
            <charset val="238"/>
          </rPr>
          <t xml:space="preserve">
JU + SI (zrabatowani) + SI data warehouse</t>
        </r>
      </text>
    </comment>
  </commentList>
</comments>
</file>

<file path=xl/sharedStrings.xml><?xml version="1.0" encoding="utf-8"?>
<sst xmlns="http://schemas.openxmlformats.org/spreadsheetml/2006/main" count="1810" uniqueCount="1097">
  <si>
    <t>X</t>
  </si>
  <si>
    <t>Liczba pracowników przyjętych</t>
  </si>
  <si>
    <t>Liczba pracowników zwolnionych</t>
  </si>
  <si>
    <t>Przeciętne zatrudnienie:</t>
  </si>
  <si>
    <t>Rzeczowe aktywa trwałe - struktura własnościowa</t>
  </si>
  <si>
    <t>Okres</t>
  </si>
  <si>
    <t>Podział zysku netto</t>
  </si>
  <si>
    <t>Działalność kontynuowana</t>
  </si>
  <si>
    <t>Krótkoterminowe świadczenia pracownicze (wynagrodzenia i narzuty)</t>
  </si>
  <si>
    <t>Nagrody jubileuszowe</t>
  </si>
  <si>
    <t>Świadczenia po okresie zatrudnienia</t>
  </si>
  <si>
    <t>Świadczenia z tytułu rozwiązania stosunku pracy</t>
  </si>
  <si>
    <t xml:space="preserve">Świadczenia pracownicze w formie akcji własnych </t>
  </si>
  <si>
    <t>PLN</t>
  </si>
  <si>
    <t>EUR</t>
  </si>
  <si>
    <t>USD</t>
  </si>
  <si>
    <t>Rezerwy na nagrody jubileuszowe</t>
  </si>
  <si>
    <t>Rezerwy na urlopy wypoczynkowe</t>
  </si>
  <si>
    <t>Rezerwy na pozostałe świadczenia</t>
  </si>
  <si>
    <t>Razem, w tym:</t>
  </si>
  <si>
    <t>Rezerwy na pozostałe świadczenia pracownicze</t>
  </si>
  <si>
    <t>Utworzenie rezerwy</t>
  </si>
  <si>
    <t>Świadczenia wypłacane Członkom Zarządu</t>
  </si>
  <si>
    <t xml:space="preserve"> Razem </t>
  </si>
  <si>
    <t>Rotacja zatrudnienia:</t>
  </si>
  <si>
    <t>Razem</t>
  </si>
  <si>
    <t>Dodatnie różnice kursowe</t>
  </si>
  <si>
    <t>Ujemne różnice kursowe</t>
  </si>
  <si>
    <t>Amortyzacja</t>
  </si>
  <si>
    <t>Zużycie materiałów i energii</t>
  </si>
  <si>
    <t>Usługi obce</t>
  </si>
  <si>
    <t>Podatki i opłaty</t>
  </si>
  <si>
    <t>Pozostałe koszty rodzajowe</t>
  </si>
  <si>
    <t>Wartość sprzedanych towarów i materiałów</t>
  </si>
  <si>
    <t>Zmiana stanu produktów</t>
  </si>
  <si>
    <t>Amortyzacja środków trwałych</t>
  </si>
  <si>
    <t>Amortyzacja wartości niematerialnych</t>
  </si>
  <si>
    <t>Bieżący podatek dochodowy</t>
  </si>
  <si>
    <t>Odroczony podatek dochodowy</t>
  </si>
  <si>
    <t>Związany z powstaniem i odwróceniem się różnic przejściowych</t>
  </si>
  <si>
    <t>Obciążenie podatkowe wykazane w skonsolidowanym rachunku zysków i strat</t>
  </si>
  <si>
    <t>Przyspieszona amortyzacja podatkowa</t>
  </si>
  <si>
    <t>Przeszacowanie kontraktów walutowych (zabezpieczenia przepływów pieniężnych) do wartości godziwej</t>
  </si>
  <si>
    <t xml:space="preserve">Wartości niematerialne </t>
  </si>
  <si>
    <t>Rzeczowe aktywa trwałe</t>
  </si>
  <si>
    <t>Kredyty i pożyczki</t>
  </si>
  <si>
    <t>amortyzacja wartości niematerialnych</t>
  </si>
  <si>
    <t>amortyzacja rzeczowych aktywów trwałych</t>
  </si>
  <si>
    <t>bilansowa zmiana stanu zapasów</t>
  </si>
  <si>
    <t>wartość zapasów przejęta w wyniku objęcia kontroli (stan zapasów jednostki zależnej na dzień objęcia kontroli ze znakiem "-")</t>
  </si>
  <si>
    <t>wartość zapasów wyłączona w wyniku utraty kontroli (stan zapasów jednostki zależnej na dzień utraty kontroli ze znakiem "+")</t>
  </si>
  <si>
    <t>bilansowa zmiana stanu rezerw na świadczenia pracownicze</t>
  </si>
  <si>
    <t>wartość rezerw przejęta w wyniku objęcia kontroli (stan rezerw jednostki zależnej na dzień objęcia kontroli ze znakiem "-")</t>
  </si>
  <si>
    <t>wartość rezerw wyłączona w wyniku utraty kontroli (stan rezerw jednostki zależnej na dzień utraty kontroli ze znakiem "+")</t>
  </si>
  <si>
    <t>stan należności przejęty w wyniku objęcia kontroli (stan należności jednostki zależnej na dzień objęcia kontroli ze znakiem "-")</t>
  </si>
  <si>
    <t>stan należności wyłączony w wyniku utraty kontroli (stan należności jednostki zależnej na dzień utraty kontroli ze znakiem "+")</t>
  </si>
  <si>
    <t>Minus środki pieniężne i ich ekwiwalenty</t>
  </si>
  <si>
    <t>Zadłużenie netto</t>
  </si>
  <si>
    <t>Kapitał własny</t>
  </si>
  <si>
    <t>Kapitały rezerwowe z tytułu niezrealizowanych zysków netto</t>
  </si>
  <si>
    <t>Kapitał razem</t>
  </si>
  <si>
    <t>Kapitał i zadłużenie netto</t>
  </si>
  <si>
    <t>Wskaźnik dźwigni</t>
  </si>
  <si>
    <t>Tytuł zobowiązania</t>
  </si>
  <si>
    <t>Suma</t>
  </si>
  <si>
    <t>Administracja</t>
  </si>
  <si>
    <t>Dział sprzedaży</t>
  </si>
  <si>
    <t>Pozostali</t>
  </si>
  <si>
    <t>Data przejęcia</t>
  </si>
  <si>
    <t>Procent przejętych instrumentów kapitałowych z prawem głosu</t>
  </si>
  <si>
    <t>Koszt połączenia jednostek gospodarczych</t>
  </si>
  <si>
    <t>Wartość godziwa aktywów netto jednostki przejmowanej przypadająca na jednostkę przejmującą</t>
  </si>
  <si>
    <t>Wartość ogółem</t>
  </si>
  <si>
    <t>Akcjonariusz</t>
  </si>
  <si>
    <t>Rodzaj
uprzywilejo-
wania akcji</t>
  </si>
  <si>
    <t>Rodzaj
ograniczenia
praw do akcji</t>
  </si>
  <si>
    <t>Wartość
serii / emisji
wg wartości
nominalnej</t>
  </si>
  <si>
    <t xml:space="preserve">Sposób
pokrycia
kapitału </t>
  </si>
  <si>
    <t>% kapitału akcyjnego</t>
  </si>
  <si>
    <t xml:space="preserve">Liczba głosów </t>
  </si>
  <si>
    <t>% głosów</t>
  </si>
  <si>
    <t>Pożyczki</t>
  </si>
  <si>
    <t>- długoterminowe</t>
  </si>
  <si>
    <t>- krótkoterminowe</t>
  </si>
  <si>
    <t>x</t>
  </si>
  <si>
    <t>Kredyty i pożyczki razem</t>
  </si>
  <si>
    <t>wartość
w walucie</t>
  </si>
  <si>
    <t>wartość 
w PLN</t>
  </si>
  <si>
    <t>Kredyty i pożyczki struktura walutowa:</t>
  </si>
  <si>
    <t>Zmiana stanu rezerw wynika z następujących pozycji:</t>
  </si>
  <si>
    <t>Zmiana stanu zapasów wynika z następujących pozycji:</t>
  </si>
  <si>
    <t>Należności handlowe brutto</t>
  </si>
  <si>
    <t>- od jednostek powiazanych</t>
  </si>
  <si>
    <t>- od pozostałych jednostek</t>
  </si>
  <si>
    <t>Pozostałe należności brutto</t>
  </si>
  <si>
    <t>Zmniejszenia w tym:</t>
  </si>
  <si>
    <t>Zmniejszenia, z tytułu:</t>
  </si>
  <si>
    <t>Zwiększenia, z tytułu:</t>
  </si>
  <si>
    <t>Wartość bilansowa brutto na początek okresu</t>
  </si>
  <si>
    <t>Wartość bilansowa brutto na koniec okresu</t>
  </si>
  <si>
    <t>Odpisy aktualizujące z tytułu utraty wartości na początek okresu</t>
  </si>
  <si>
    <t>Odpisy aktualizujące z tytułu utraty wartości na koniec okresu</t>
  </si>
  <si>
    <t>Zwiększenia, w tym:</t>
  </si>
  <si>
    <t>Koszt wytworzenia sprzedanych produktów i usług</t>
  </si>
  <si>
    <t>Aktywa trwałe, inne niż instrumenty finansowe</t>
  </si>
  <si>
    <t>Przychody ze sprzedaży usług</t>
  </si>
  <si>
    <t>Przychody ze sprzedaży produktów</t>
  </si>
  <si>
    <t>Przychody ze sprzedaży towarów i materiałów</t>
  </si>
  <si>
    <t>Zysk (strata) netto na jedną akcję (w zł)</t>
  </si>
  <si>
    <t>Pozostałe aktywa finansowe</t>
  </si>
  <si>
    <t xml:space="preserve">Pozostałe należności </t>
  </si>
  <si>
    <t>Wynik finansowy bieżącego okresu</t>
  </si>
  <si>
    <r>
      <t xml:space="preserve">Świadczenia </t>
    </r>
    <r>
      <rPr>
        <b/>
        <sz val="8"/>
        <rFont val="Arial"/>
        <family val="2"/>
        <charset val="238"/>
      </rPr>
      <t>wypłacone lub należne pozostałym członkom głównej kadry kierowniczej</t>
    </r>
  </si>
  <si>
    <t>Środki pieniężne kasie i na rachunkach bankowych:</t>
  </si>
  <si>
    <t>Dotacje</t>
  </si>
  <si>
    <t>Nieruchomości inwestycyjne</t>
  </si>
  <si>
    <t xml:space="preserve">Skonsolidowany rachunek przepływów pieniężnych </t>
  </si>
  <si>
    <t>SKONSOLIDOWANY RACHUNEK ZYSKÓW I STRAT</t>
  </si>
  <si>
    <t>Zestawienie zmian w skosolidowanym kapitale własnym</t>
  </si>
  <si>
    <t>Przychody netto ze sprzedażyproduktów, towarów i materiałów</t>
  </si>
  <si>
    <t>Koszt własny sprzedaży</t>
  </si>
  <si>
    <t>Zysk (strata) brutto</t>
  </si>
  <si>
    <t>Zysk (strata) netto</t>
  </si>
  <si>
    <t>Liczba udziałów/akcji w sztukach</t>
  </si>
  <si>
    <t>Wartość księgowa na akcję (zł/euro)</t>
  </si>
  <si>
    <t>Zysk (strata) netto na akcję zwykłą (zł/euro)</t>
  </si>
  <si>
    <t>Zysk (strata) netto na jedną akcję z działalności kontynuowanej (w zł)</t>
  </si>
  <si>
    <t>Zysk (strata) netto podmiotu dominującego</t>
  </si>
  <si>
    <t>Podstawowy za okres obrotowy</t>
  </si>
  <si>
    <t>Rozwodniony za okres obrotowy</t>
  </si>
  <si>
    <t>Pozostałe zobowiązania finansowe</t>
  </si>
  <si>
    <t>Rezerwy z tytułu odroczonego podatku dochodowego</t>
  </si>
  <si>
    <t>Emisja akcji</t>
  </si>
  <si>
    <t xml:space="preserve">Inne, niż wpłaty na rzecz właścicieli, wydatki z tytułu podziału zysku </t>
  </si>
  <si>
    <t>Podmiot powiązany</t>
  </si>
  <si>
    <t>Sprzedaż na rzecz podmiotów powiązanych</t>
  </si>
  <si>
    <t>Zakupy od podmiotów powiązanych</t>
  </si>
  <si>
    <t>Wartości niematerialne - struktura własnościowa</t>
  </si>
  <si>
    <t>Wartości niematerialne - ograniczenie w dysponowaniu</t>
  </si>
  <si>
    <t>Wartość bilansowa wartości niematerialnych podlegających ograniczeniu w dysponowaniu lub stanowiących zabezpieczenie</t>
  </si>
  <si>
    <t>Wartość firmy (netto)</t>
  </si>
  <si>
    <t>Wartość firmy przejęta w ramach połączenia jednostek gospodarczych</t>
  </si>
  <si>
    <t>Nadwyżka udziału jednostki przejmującej w wartości godziwej aktywów netto nad kosztem połączenia*</t>
  </si>
  <si>
    <t>- połączenia jednostek gospodarczych</t>
  </si>
  <si>
    <t>Nazwa spółki, forma prawna, miejscowość, w której mieści się siedziba zarządu</t>
  </si>
  <si>
    <t>- nabycia środków trwałych</t>
  </si>
  <si>
    <t>- wytworzenia we własnym zakresie środków trwałych</t>
  </si>
  <si>
    <t>- zawartych umów leasingu</t>
  </si>
  <si>
    <t>- przeszacowania</t>
  </si>
  <si>
    <t>- likwidacji</t>
  </si>
  <si>
    <t xml:space="preserve">- sprzedaży spółki zależnej </t>
  </si>
  <si>
    <t>-  wniesienia aportu</t>
  </si>
  <si>
    <t>- amortyzacji</t>
  </si>
  <si>
    <t>- sprzedaży</t>
  </si>
  <si>
    <t>Różnice kursowe netto z przeliczenia sprawozdania finansowego na walutę prezentacji</t>
  </si>
  <si>
    <r>
      <t>Koszty prac rozwojowych</t>
    </r>
    <r>
      <rPr>
        <b/>
        <vertAlign val="superscript"/>
        <sz val="8"/>
        <color indexed="8"/>
        <rFont val="Arial"/>
        <family val="2"/>
        <charset val="238"/>
      </rPr>
      <t>1</t>
    </r>
  </si>
  <si>
    <r>
      <t>Znaki towarowe</t>
    </r>
    <r>
      <rPr>
        <b/>
        <vertAlign val="superscript"/>
        <sz val="8"/>
        <rFont val="Arial"/>
        <family val="2"/>
        <charset val="238"/>
      </rPr>
      <t>2</t>
    </r>
  </si>
  <si>
    <r>
      <t>Patenty i licencje</t>
    </r>
    <r>
      <rPr>
        <b/>
        <vertAlign val="superscript"/>
        <sz val="8"/>
        <color indexed="8"/>
        <rFont val="Arial"/>
        <family val="2"/>
        <charset val="238"/>
      </rPr>
      <t>2</t>
    </r>
  </si>
  <si>
    <r>
      <t>Oprogramowanie komputerowe</t>
    </r>
    <r>
      <rPr>
        <b/>
        <vertAlign val="superscript"/>
        <sz val="8"/>
        <rFont val="Arial"/>
        <family val="2"/>
        <charset val="238"/>
      </rPr>
      <t>2</t>
    </r>
  </si>
  <si>
    <t>Zmniejszenia stanu z tytułu spadku udziału wskutek rozwodnienia</t>
  </si>
  <si>
    <t xml:space="preserve"> </t>
  </si>
  <si>
    <t>Akcje/ Udziały w spółkach nienotowanych na giełdzie (nie objęte konsolidacją)</t>
  </si>
  <si>
    <t>Akcje spółek notowanych na giełdzie (nie objęte konsolidacją)</t>
  </si>
  <si>
    <t>Inwestycje długoterminowe</t>
  </si>
  <si>
    <t>Powody nie objęcia konsolidacją</t>
  </si>
  <si>
    <t>- z tytułu podatków, z wyjątkiem podatku dochodowego od osób prawnych</t>
  </si>
  <si>
    <t>Inwestycje krótkoterminowe</t>
  </si>
  <si>
    <t>Czynne rozliczenia międzyokresowe kosztów</t>
  </si>
  <si>
    <t>Akcje własne (-)</t>
  </si>
  <si>
    <t>Na początek okresu</t>
  </si>
  <si>
    <t>Dywidendy wypłacone przez jednostki zależne</t>
  </si>
  <si>
    <t>Nabycie spółki</t>
  </si>
  <si>
    <t>Zmiany w strukturze udziałowców w jednostkach zależnych</t>
  </si>
  <si>
    <t>Udział w wyniku jednostek zależnych</t>
  </si>
  <si>
    <t>Na koniec okresu</t>
  </si>
  <si>
    <t>Zobowiązania z tytułu pozostałych podatków, ceł, ubezpieczeń społecznych i innych, z wyjątkiem podatku dochodowego od osób prawnych</t>
  </si>
  <si>
    <t>Odpisy aktualizujące</t>
  </si>
  <si>
    <t>- wykorzystanie odpisów aktualizujących</t>
  </si>
  <si>
    <t>- rozwiązanie odpisów aktualizujących w związku ze spłatą należności</t>
  </si>
  <si>
    <t>- zakończenie postępowań</t>
  </si>
  <si>
    <t>- dokonanie odpisów na należności przeterminowane i sporne</t>
  </si>
  <si>
    <t>- dowiązanie odpisów w związku z umorzeniem układu</t>
  </si>
  <si>
    <t>Zmiany stanu odpisów aktualizujących wartość należności handlowych</t>
  </si>
  <si>
    <t>Pozostałe należności, w tym:</t>
  </si>
  <si>
    <t>Pozostałe rozliczenia międzyokresowe</t>
  </si>
  <si>
    <t>Kapitał zakładowy struktura cd:</t>
  </si>
  <si>
    <t>Zmiany kapitału zakładowego:</t>
  </si>
  <si>
    <t>Kapitał zakładowy na początek okresu</t>
  </si>
  <si>
    <t>Kapitał zakładowy na koniec okresu</t>
  </si>
  <si>
    <t xml:space="preserve">Razem pozostałe zobowiązania </t>
  </si>
  <si>
    <t xml:space="preserve">Zysk (strata) netto </t>
  </si>
  <si>
    <t>Polska</t>
  </si>
  <si>
    <t>Przychody ze sprzedaży - szczegółowa struktura geograficzna</t>
  </si>
  <si>
    <t>w %</t>
  </si>
  <si>
    <t>Kraj</t>
  </si>
  <si>
    <t>Eksport, w tym:</t>
  </si>
  <si>
    <t xml:space="preserve">Unia Europejska </t>
  </si>
  <si>
    <t>w tys. PLN</t>
  </si>
  <si>
    <t xml:space="preserve">Wynagrodzenia </t>
  </si>
  <si>
    <t>Ubezpieczenia społeczne i inne świadczenia</t>
  </si>
  <si>
    <t>Koszt wytworzenia produktów na własne potrzeby jednostki (wielkość ujemna)</t>
  </si>
  <si>
    <t>Koszty sprzedaży (wielkość ujemna)</t>
  </si>
  <si>
    <t>Koszty ogólnego zarządu (wielkość ujemna)</t>
  </si>
  <si>
    <t>Inne zobowiązania długoterminowe</t>
  </si>
  <si>
    <t>Zysk ze zbycia majątku trwałego</t>
  </si>
  <si>
    <t>Strata ze zbycia majątku trwałego</t>
  </si>
  <si>
    <t>Dotyczący roku obrotowego</t>
  </si>
  <si>
    <t>Korekty dotyczące lat ubiegłych</t>
  </si>
  <si>
    <t>zwiększenia</t>
  </si>
  <si>
    <t>zmniejszenia</t>
  </si>
  <si>
    <t>Suma ujemnych różnic przejściowych</t>
  </si>
  <si>
    <t>stawka podatkowa</t>
  </si>
  <si>
    <t>Aktywa z tytułu odroczonego podatku</t>
  </si>
  <si>
    <t>Suma dodatnich różnic przejściowych</t>
  </si>
  <si>
    <t>Rezerwa z tytułu podatku odroczonego na koniec okresu:</t>
  </si>
  <si>
    <t>Wartości niematerialne w budowie</t>
  </si>
  <si>
    <t>Kwoty zobowiązań umownych do nabycia w przyszłości wartości niematerialnych</t>
  </si>
  <si>
    <t xml:space="preserve"> Należności leasingowe długoterminowe</t>
  </si>
  <si>
    <t xml:space="preserve"> Należności długoterminowe pozostałe</t>
  </si>
  <si>
    <t xml:space="preserve"> Należności leasingowe krótkoterminowe</t>
  </si>
  <si>
    <t>91-180</t>
  </si>
  <si>
    <t>Jednostki powiązane</t>
  </si>
  <si>
    <t>Stan odpisów aktualizujących wartość należności handlowych od jednostek powiązanych na koniec okresu</t>
  </si>
  <si>
    <t>Jednostki pozostałe</t>
  </si>
  <si>
    <t>Stan odpisów aktualizujących wartość należności handlowych od jednostek pozostałych na koniec okresu</t>
  </si>
  <si>
    <t>Stan odpisów aktualizujących wartość należności handlowych ogółem na koniec okresu</t>
  </si>
  <si>
    <t>od jednostek powiązanych</t>
  </si>
  <si>
    <t>od pozostałych jednostek</t>
  </si>
  <si>
    <t xml:space="preserve"> - od Zarządu i Rady Nadzorczej</t>
  </si>
  <si>
    <t>zobowiązania leasingowe</t>
  </si>
  <si>
    <t>zobowiązania wyceniane w wartości godziwej przez wynik finansowy</t>
  </si>
  <si>
    <t xml:space="preserve">Razem zobowiązania finansowe </t>
  </si>
  <si>
    <t>Uzyskane kary, grzywny i odszkodowania</t>
  </si>
  <si>
    <t>Darowizny</t>
  </si>
  <si>
    <t xml:space="preserve">Pozostałe przychody operacyjne </t>
  </si>
  <si>
    <t xml:space="preserve">Pozostałe koszty operacyjne </t>
  </si>
  <si>
    <t>Zysk netto ze zbycia aktywów finansowych dostępnych do sprzedaży</t>
  </si>
  <si>
    <t>Dywidendy otrzymane</t>
  </si>
  <si>
    <t xml:space="preserve">Rozwiązanie odpisów aktualizujących </t>
  </si>
  <si>
    <t>Nadwyżka dodatnich różnic kursowych</t>
  </si>
  <si>
    <t>Wycena instrumentów pochodnych</t>
  </si>
  <si>
    <t>Koszty z tytułu odsetek</t>
  </si>
  <si>
    <t>Nadwyżka ujemnych różnic kursowych</t>
  </si>
  <si>
    <t>Zysk przed opodatkowaniem</t>
  </si>
  <si>
    <t>G. Środki pieniężne na koniec okresu</t>
  </si>
  <si>
    <t>Data rejestracji</t>
  </si>
  <si>
    <t>hiperinflacja</t>
  </si>
  <si>
    <t>tytuł</t>
  </si>
  <si>
    <t>Wartość jednostkowa</t>
  </si>
  <si>
    <t>Seria/emisja rodzaj akcji</t>
  </si>
  <si>
    <t>Kapitał z aktualizacji wyceny</t>
  </si>
  <si>
    <t>Kapitał rezerwowy</t>
  </si>
  <si>
    <t>Podatek odroczony z tyt. powyższej korekty</t>
  </si>
  <si>
    <t>Wynik z tytułu zabezpieczeń przepływów pieniężnych</t>
  </si>
  <si>
    <t>Podział/ pokrycie zysku/straty netto</t>
  </si>
  <si>
    <t xml:space="preserve">Zwiększenia w okresie </t>
  </si>
  <si>
    <t xml:space="preserve">Zmniejszenia w okresie </t>
  </si>
  <si>
    <t>Kredyty rachunku bieżącym</t>
  </si>
  <si>
    <t>Kredyty bankowe</t>
  </si>
  <si>
    <t>Suma kredytów i pożyczek, w tym</t>
  </si>
  <si>
    <t>Rezerwy na odprawy emerytalne i rentowe</t>
  </si>
  <si>
    <t>Zysk (strata) netto na jedną akcję z działalności zaniechanej (w zł)</t>
  </si>
  <si>
    <t>Przychody ze sprzedaży</t>
  </si>
  <si>
    <t>AKTYWA</t>
  </si>
  <si>
    <t>A. Przepływy pieniężne netto z działalności operacyjnej</t>
  </si>
  <si>
    <t>B. Przepływy pieniężne netto z działalności inwestycyjnej</t>
  </si>
  <si>
    <t>C. Przepływy pieniężne netto z działalności finansowej</t>
  </si>
  <si>
    <t>D. Przepływy pieniężne netto razem</t>
  </si>
  <si>
    <t>E. Bilansowa zmiana stanu środków pieniężnych, w tym</t>
  </si>
  <si>
    <t>F. Środki pieniężne na początek okresu</t>
  </si>
  <si>
    <t>Związany z obniżeniem stawek podatku dochodowego</t>
  </si>
  <si>
    <t>Rezerwa na pozostałe świadczenia pracownicze</t>
  </si>
  <si>
    <t>Rezerwa na niewykorzystane urlopy</t>
  </si>
  <si>
    <t>Pozostałe rezerwy</t>
  </si>
  <si>
    <t>Odpisy aktualizujące udziały w innych jednostkach</t>
  </si>
  <si>
    <t>NOTA</t>
  </si>
  <si>
    <t>Akcje i udziały w jednostkach podporządkowanych nie objętych konsolidacją</t>
  </si>
  <si>
    <t>Sprzedaż klientom zewnętrznym</t>
  </si>
  <si>
    <t>Aktywa z tytułu podatku odroczonego</t>
  </si>
  <si>
    <t>Aktywa z tytułu świadczeń pracowniczych po okresie zatrudnienia</t>
  </si>
  <si>
    <t>Prawa wynikające z umów ubezpieczeniowych</t>
  </si>
  <si>
    <t>Łącznie pozostałe kraje</t>
  </si>
  <si>
    <t>- za badanie rocznego sprawozdania finansowego i skonsolidowanego sprawozdania finansowego</t>
  </si>
  <si>
    <t>Wynagrodzenia i ubezpieczenia społeczne płatne w następnych okresach</t>
  </si>
  <si>
    <t>Zwiększenie stanu z tytułu przejęcia jednostki</t>
  </si>
  <si>
    <t>Inne zmiany wartości bilansowej</t>
  </si>
  <si>
    <t>Odpisy aktualizujące z tytułu utraty wartości ujęte w trakcie okresu</t>
  </si>
  <si>
    <t>Wartość firmy:</t>
  </si>
  <si>
    <t>Oprocentowane kredyty i pożyczki</t>
  </si>
  <si>
    <t>Zamienne akcje uprzywilejowane</t>
  </si>
  <si>
    <t>Zobowiązania z tytułu dostaw i usług oraz pozostałe zobowiązania</t>
  </si>
  <si>
    <t>Zobowiązania krótkoterminowe</t>
  </si>
  <si>
    <t>Zobowiązania długoterminowe</t>
  </si>
  <si>
    <t>Przychody finansowe</t>
  </si>
  <si>
    <t>Wyszczególnienie</t>
  </si>
  <si>
    <t>Pozostałe zmiany</t>
  </si>
  <si>
    <t>Grunty</t>
  </si>
  <si>
    <t>Budynki i   budowle</t>
  </si>
  <si>
    <t>Maszyny
i urządzenia</t>
  </si>
  <si>
    <t>nota</t>
  </si>
  <si>
    <t>Rozliczenia międzyokresowe</t>
  </si>
  <si>
    <t>Aktywa z tytułu odroczonego podatku dochodowego</t>
  </si>
  <si>
    <t>Należności handlowe</t>
  </si>
  <si>
    <t>Środki pieniężne i ich ekwiwalenty</t>
  </si>
  <si>
    <t>AKTYWA  RAZEM</t>
  </si>
  <si>
    <t>w tę kolumnę należy wpisać dane według wzoru</t>
  </si>
  <si>
    <t>wzór</t>
  </si>
  <si>
    <t>Nazwa jednostki:</t>
  </si>
  <si>
    <t>ABC S.A.</t>
  </si>
  <si>
    <t>Adres siedziby:</t>
  </si>
  <si>
    <t>Początek roku:</t>
  </si>
  <si>
    <t>Koniec roku:</t>
  </si>
  <si>
    <t>Kapitał zakładowy</t>
  </si>
  <si>
    <t>Pozostałe kapitały</t>
  </si>
  <si>
    <t>Rezerwa na świadczenia emerytalne i podobne</t>
  </si>
  <si>
    <t>Zobowiązania handlowe</t>
  </si>
  <si>
    <t>PASYWA  RAZEM</t>
  </si>
  <si>
    <t xml:space="preserve">Dane finasnowe sporządzone w </t>
  </si>
  <si>
    <t>Pozostałe przychody operacyjne</t>
  </si>
  <si>
    <t>Pozostałe koszty operacyjne</t>
  </si>
  <si>
    <t>Zysk (strata) na działalności operacyjnej</t>
  </si>
  <si>
    <t>Zysk (strata) netto z działalności kontynuowanej</t>
  </si>
  <si>
    <t>Zysk (strata) z działalności zaniechanej</t>
  </si>
  <si>
    <t>DZIAŁALNOŚĆ OPERACYJNA</t>
  </si>
  <si>
    <t>Korekty razem:</t>
  </si>
  <si>
    <t>Zyski (straty) z tytułu różnic kursowych</t>
  </si>
  <si>
    <t>Zysk (strata) z działalności inwestycyjnej</t>
  </si>
  <si>
    <t>Zmiana stanu rezerw</t>
  </si>
  <si>
    <t>Gotówka z działalności operacyjnej</t>
  </si>
  <si>
    <t>Podatek dochodowy (zapłacony) / zwrócony</t>
  </si>
  <si>
    <t>Przepływy pieniężne netto z działalności operacyjnej</t>
  </si>
  <si>
    <t>DZIAŁALNOŚĆ INWESTYCYJNA</t>
  </si>
  <si>
    <t>Przychody z tytułu odsetek</t>
  </si>
  <si>
    <t>Przepływy pieniężne netto z działalności inwestycyjnej</t>
  </si>
  <si>
    <t>DZIAŁALNOŚĆ FINANSOWA</t>
  </si>
  <si>
    <t>Inne wpływy finansowe</t>
  </si>
  <si>
    <t>Wykup dłużnych papierów wartościowych</t>
  </si>
  <si>
    <t>Z tytułu innych zobowiązań finansowych</t>
  </si>
  <si>
    <t>Przepływy pieniężne netto z działalności finansowej</t>
  </si>
  <si>
    <t>- zmiana stanu środków pieniężnych z tytułu różnic kursowych</t>
  </si>
  <si>
    <t>Wpływy</t>
  </si>
  <si>
    <t>Wydatki</t>
  </si>
  <si>
    <t>tys. zł / zł</t>
  </si>
  <si>
    <t>stan zobowiązań operacyjnych przejęty w wyniku objęcia kontroli (stan zobowiązań jednostki zależnej na dzień objęcia kontroli ze znakiem "-")</t>
  </si>
  <si>
    <t>Zmniejszenie stanu z tytułu sprzedaży spółki zależnej</t>
  </si>
  <si>
    <t>Odpisy aktualizujące wartość należności spornych</t>
  </si>
  <si>
    <t>Koszty wypłaconych świadczeń</t>
  </si>
  <si>
    <t>Rozwiązanie rezerwy</t>
  </si>
  <si>
    <t>Wykorzystane</t>
  </si>
  <si>
    <t>Rozwiązane</t>
  </si>
  <si>
    <t>GBP</t>
  </si>
  <si>
    <t>CHF</t>
  </si>
  <si>
    <t>Ogółem</t>
  </si>
  <si>
    <t>krótkoterminowe</t>
  </si>
  <si>
    <t>długoterminowe</t>
  </si>
  <si>
    <t>Środki pieniężne w bilansie</t>
  </si>
  <si>
    <t>Środki pieniężne i ich ekwiwalenty ogółem wykazane w rachunku przepływów pieniężnych</t>
  </si>
  <si>
    <t>Odsetki i udziały w zyskach (dywidendy) składają się z:</t>
  </si>
  <si>
    <t>odsetki zapłacone od udzielonych pożyczek</t>
  </si>
  <si>
    <t>odsetki zapłacone od kredytów</t>
  </si>
  <si>
    <t>odsetki otrzymane</t>
  </si>
  <si>
    <t>odsetki zapłacone od długoterminowych należności</t>
  </si>
  <si>
    <t>odsetki naliczone od udzielonych pożyczek</t>
  </si>
  <si>
    <t>odsetki naliczone od kredytów i pożyczek</t>
  </si>
  <si>
    <t>Zysk (strata) z działalności inwestycyjnej wynika z:</t>
  </si>
  <si>
    <t>Zmiana należności wynika z następujących pozycji:</t>
  </si>
  <si>
    <t>zmiana stanu należności krótkoterminowych wynikająca z bilansu</t>
  </si>
  <si>
    <t>zmiana stanu należności długoterminowych wynikająca z bilansu</t>
  </si>
  <si>
    <t>korekta o zmianę stanu należności z tytułu zbycia rzeczowych aktywów trwałych</t>
  </si>
  <si>
    <t>korekta o zmianę stanu należności z tytułu zbycia inwestycji niefinansowych</t>
  </si>
  <si>
    <t>korekta o zmianę stanu należności z tytułu zbycia inwestycji finansowych</t>
  </si>
  <si>
    <t>zmiana stanu zobowiązań krótkoterminowych wynikająca z bilansu</t>
  </si>
  <si>
    <t>korekta o zmianę stanu zobowiązań z tytułu nabycia rzeczowych aktywów trwałych</t>
  </si>
  <si>
    <t>korekta o zmianę stanu zobowiązań z tytułu nabycia aktywów finansowych</t>
  </si>
  <si>
    <t>Na wartość pozycji "inne korekty" składają się:</t>
  </si>
  <si>
    <t>Wrocław, ul. B.Prusa 5</t>
  </si>
  <si>
    <t>Podatek dochodowy wykazany w RZiS</t>
  </si>
  <si>
    <t>KOSZTY AMORTYZACJI  I ODPISÓW AKTUALIZUJĄCYCH UJĘTE W RZIS</t>
  </si>
  <si>
    <t>Zmiana stanu instrumentów finansowych</t>
  </si>
  <si>
    <t>Różnice kursowe z wyceny bilansowej</t>
  </si>
  <si>
    <t>Aktywa pieniężne kwalifikowane jako ekwiwalenty środków pieniężnych na potrzeby rachunku przepływów pieniężnych</t>
  </si>
  <si>
    <t>Udział w zyskach (stratach) netto jednostek rozliczanych metodą praw własności</t>
  </si>
  <si>
    <t>Należności z tytułu bieżącego podatku dochodowego</t>
  </si>
  <si>
    <t>Kapitały własne akcjonariuszy jednostki dominującej</t>
  </si>
  <si>
    <t>Kapitał zapasowy ze sprzedaży akcji powyżej ceny nominalnej</t>
  </si>
  <si>
    <t xml:space="preserve">Kapitały własne </t>
  </si>
  <si>
    <t xml:space="preserve">Zobowiązania długoterminowe </t>
  </si>
  <si>
    <t>Zobowiązania z tytułu bieżącego podatku dochodowego</t>
  </si>
  <si>
    <t>Kapitał własny akcjonariuszy jednostki dominującej</t>
  </si>
  <si>
    <t>Razem kapitały własne</t>
  </si>
  <si>
    <t>PASYWA</t>
  </si>
  <si>
    <t>Zmiany zasad (polityki) rachunkowości</t>
  </si>
  <si>
    <t>Korekty z tyt. błędów podstawowych</t>
  </si>
  <si>
    <t>Kapitał własny po korektach</t>
  </si>
  <si>
    <t>Koszt emisji akcji</t>
  </si>
  <si>
    <t xml:space="preserve">Ujemne różnice przejściowe będące podstawą do tworzenia aktywa z tytułu podatku odroczonego </t>
  </si>
  <si>
    <t xml:space="preserve">Dodatnie różnice przejściowe będące podstawą do tworzenia rezerwy z tytułu podatku odroczonego </t>
  </si>
  <si>
    <t>Amortyzacja:</t>
  </si>
  <si>
    <t>bilansowa zmiana stanu rezerw na zobowiązania</t>
  </si>
  <si>
    <t>Zmiana stanu zobowiązań krótkoterminowych, z wyjątkiem zobowiązań finansowych, wynika z następujących pozycji:</t>
  </si>
  <si>
    <t>stan zobowiązań operacyjnych wyłączony w wyniku utraty kontroli (stan zobowiązań jednostki zależnej na dzień utraty kontroli ze znakiem "+")</t>
  </si>
  <si>
    <t>01.01.200X - 31.12.200X</t>
  </si>
  <si>
    <t>31.12.200X</t>
  </si>
  <si>
    <t>01.01.200(X-1) - 31.12.200(X-1)</t>
  </si>
  <si>
    <t>01.01.200(X-1)</t>
  </si>
  <si>
    <t>31.12.200(X-1)</t>
  </si>
  <si>
    <t>Bieżący rok obrotowy:</t>
  </si>
  <si>
    <t>Poprzedni rok obrotowy</t>
  </si>
  <si>
    <t>Pozostałe zobowiązania krótkoterminowe</t>
  </si>
  <si>
    <t xml:space="preserve"> Instrumenty finansowe utrzymywane do terminu wymagalności</t>
  </si>
  <si>
    <t>- nabycia</t>
  </si>
  <si>
    <t>Składki na ubezpieczenie społeczne (ZUS)</t>
  </si>
  <si>
    <t>Akcyza</t>
  </si>
  <si>
    <t>Opłaty celne</t>
  </si>
  <si>
    <t>Bierne rozliczenia międzyokresowe</t>
  </si>
  <si>
    <t>Rozliczenia międzyokresowe przychodów</t>
  </si>
  <si>
    <t>Zysk (strata) przed opodatkowaniem</t>
  </si>
  <si>
    <t>Podatek dochodowy</t>
  </si>
  <si>
    <t>Odpisy aktualizujące należności</t>
  </si>
  <si>
    <t>Liczba akcji</t>
  </si>
  <si>
    <t>Aktywo z tytułu podatku odroczonego</t>
  </si>
  <si>
    <t>Rezerwa z tytułu podatku odroczonego – działalność kontynuowana</t>
  </si>
  <si>
    <t>Rezerwa z tytułu podatku odroczonego – działalność zaniechana</t>
  </si>
  <si>
    <t>Aktywa/Rezerwa netto z tytułu podatku odroczonego</t>
  </si>
  <si>
    <t xml:space="preserve">Zysk netto z działalności kontynuowanej </t>
  </si>
  <si>
    <t xml:space="preserve">Strata na działalności zaniechanej </t>
  </si>
  <si>
    <t>Wyliczenie zysku na jedną akcje - założenia</t>
  </si>
  <si>
    <t>Efekt rozwodnienia:</t>
  </si>
  <si>
    <t xml:space="preserve"> - odsetki od umarzalnych akcji uprzywilejowanych zamiennych na akcje zwykłe</t>
  </si>
  <si>
    <t xml:space="preserve"> - odsetki od obligacji zamiennych na akcje</t>
  </si>
  <si>
    <t xml:space="preserve"> -  instrument rozwadniający zysk 1</t>
  </si>
  <si>
    <t xml:space="preserve">Zysk wykazany dla potrzeb wyliczenia wartości rozwodnionego zysku przypadającego na jedną akcję </t>
  </si>
  <si>
    <t>Średnia ważona liczba akcji wykazana dla potrzeb wyliczenia wartości podstawowego zysku  na jedną akcję w szt.</t>
  </si>
  <si>
    <t>Efekt rozwodnienia liczby akcji zwykłych</t>
  </si>
  <si>
    <t xml:space="preserve"> - opcje na akcje</t>
  </si>
  <si>
    <t xml:space="preserve"> - obligacje zamienne na akcje</t>
  </si>
  <si>
    <t xml:space="preserve"> - instrument rozwadniający zysk 1</t>
  </si>
  <si>
    <t>Średnia ważona liczba akcji zwykłych wykazana dla potrzeb wyliczenia wartości rozwodnionego zysku na jedną akcję w szt.</t>
  </si>
  <si>
    <t>Liczba wyemitowanych akcji</t>
  </si>
  <si>
    <t>Własne</t>
  </si>
  <si>
    <t>Używane na podstawie umowy najmu, dzierżawy lub innej umowy, w tym umowy leasingu</t>
  </si>
  <si>
    <t>Tytuł zobowiązania / ograniczenia w dysponowaniu</t>
  </si>
  <si>
    <t>Utworzone w ciągu roku obrotowego</t>
  </si>
  <si>
    <t>Korekta z tytułu różnic kursowych</t>
  </si>
  <si>
    <t>Korekta stopy dyskontowej</t>
  </si>
  <si>
    <t>Wobec jednostek powiązanych</t>
  </si>
  <si>
    <t>Wobec jednostek pozostałych</t>
  </si>
  <si>
    <t>Podatek VAT</t>
  </si>
  <si>
    <t>Podatek zryczałtowany u źródła</t>
  </si>
  <si>
    <t>Podatek dochodowy od osób fizycznych</t>
  </si>
  <si>
    <t>Pozostałe zobowiązania</t>
  </si>
  <si>
    <t>Zobowiązania wobec pracowników z tytułu wynagrodzeń</t>
  </si>
  <si>
    <t>Zobowiązania wobec podmiotów powiązanych</t>
  </si>
  <si>
    <t>Zobowiązania wobec wspólnego przedsięwzięcia</t>
  </si>
  <si>
    <t>Inne zobowiązania</t>
  </si>
  <si>
    <t>Zapasy</t>
  </si>
  <si>
    <t>Zysk wykazany dla potrzeb wyliczenia wartości podstawowego zysku przypadającego na jedną akcję</t>
  </si>
  <si>
    <t xml:space="preserve">Wartość udziałów wg ceny nabycia </t>
  </si>
  <si>
    <t>Korekty aktualizujące wartość</t>
  </si>
  <si>
    <t>Wartość bilansowa udziałów</t>
  </si>
  <si>
    <t>Procent posiadanych udziałów</t>
  </si>
  <si>
    <t>Procent posiadanych głosów</t>
  </si>
  <si>
    <t>Zysk / strata netto</t>
  </si>
  <si>
    <t>Wartość aktywów</t>
  </si>
  <si>
    <t>Aktywa trwałe</t>
  </si>
  <si>
    <t>Aktywa obrotowe</t>
  </si>
  <si>
    <t>Wartość zobowiązań</t>
  </si>
  <si>
    <t>Wartość przychodów</t>
  </si>
  <si>
    <t xml:space="preserve"> Pożyczki udzielone, w tym:</t>
  </si>
  <si>
    <t xml:space="preserve"> - dla Zarządu i Rady Nadzorczej</t>
  </si>
  <si>
    <t xml:space="preserve"> Instrumenty zabezpieczające wartość godziwą</t>
  </si>
  <si>
    <t xml:space="preserve"> Instrumenty zabezpieczające przepływy pieniężne</t>
  </si>
  <si>
    <t xml:space="preserve"> Inne</t>
  </si>
  <si>
    <t>Należności długoterminowe</t>
  </si>
  <si>
    <t>RAZEM</t>
  </si>
  <si>
    <t>- inne</t>
  </si>
  <si>
    <t xml:space="preserve">Należności handlowe </t>
  </si>
  <si>
    <t>Stan odpisów aktualizujących wartość należności handlowych na początek okresu</t>
  </si>
  <si>
    <t>Należności handlowe dochodzone na drodze sądowej:</t>
  </si>
  <si>
    <t>Pozostałe należności dochodzone na drodze sądowej:</t>
  </si>
  <si>
    <t>Należności handlowe skierowane na drogę postępowania sądowego</t>
  </si>
  <si>
    <t>Wartość netto należności handlowych dochodzonych na drodze sądowej</t>
  </si>
  <si>
    <t xml:space="preserve"> - długoterminowe</t>
  </si>
  <si>
    <t xml:space="preserve"> - krótkoterminowe</t>
  </si>
  <si>
    <t>Udzielone pożyczki</t>
  </si>
  <si>
    <t>- otrzymania aportu</t>
  </si>
  <si>
    <t>Udzielone pożyczki, w tym:</t>
  </si>
  <si>
    <t>- dla Zarządu i Rady Nadzorczej</t>
  </si>
  <si>
    <t>Odpisy aktualizujące z tytułu utraty wartości</t>
  </si>
  <si>
    <t>Suma netto udzielonych pożyczek</t>
  </si>
  <si>
    <t>Środki
transportu</t>
  </si>
  <si>
    <t>Pozostałe
środki
trwałe</t>
  </si>
  <si>
    <t>Koszty finansowe</t>
  </si>
  <si>
    <t>Wartość firmy</t>
  </si>
  <si>
    <t>Pozostałe</t>
  </si>
  <si>
    <t>Nie przeterminowane</t>
  </si>
  <si>
    <t>Pozostałe świadczenia długoterminowe</t>
  </si>
  <si>
    <t>Zysk (strata) przypisana akcjonariuszom niekontrolującym</t>
  </si>
  <si>
    <t>Kapitał akcjonariuszy niekontrolujących</t>
  </si>
  <si>
    <t>Działalność zaniechana</t>
  </si>
  <si>
    <t>Zysk/(strata) przed opodatkowaniem</t>
  </si>
  <si>
    <t xml:space="preserve">Zysk/ (strata) netto </t>
  </si>
  <si>
    <t>Istotne pozostałe koszty niepieniężne</t>
  </si>
  <si>
    <t>Wyłączenia konsolidacyjne</t>
  </si>
  <si>
    <t>Należności skierowane na drogę postępowania sądowego</t>
  </si>
  <si>
    <t>Należności krótkoterminowe skierowane na drogę sądową netto razem:</t>
  </si>
  <si>
    <t>Nota 1. PRZYCHODY ZE SPRZEDAŻY</t>
  </si>
  <si>
    <t>Nota 2. SEGMENTY OPERACYJNE</t>
  </si>
  <si>
    <t>Nota 3. KOSZTY DZIAŁALNOŚCI OPERACYJNEJ</t>
  </si>
  <si>
    <t>Nota 4. POZOSTAŁE PRZYCHODY I KOSZTY OPERACYJNE</t>
  </si>
  <si>
    <t>Nota 5. PRZYCHODY  I KOSZTY FINANSOWE</t>
  </si>
  <si>
    <t>Nota 6. PODATEK DOCHODOWY I ODROCZONY PODATEK DOCHODOWY</t>
  </si>
  <si>
    <t>RACHUNEK ZYSKÓW I STRAT</t>
  </si>
  <si>
    <t>BILANS</t>
  </si>
  <si>
    <t>RACHUNEK PRZEPŁYWÓW PIENIĘŻNYCH</t>
  </si>
  <si>
    <t>Kurs EUR/PLN</t>
  </si>
  <si>
    <t>- dla danych bilansowych</t>
  </si>
  <si>
    <t>- dla danych rachunku zysków i strat</t>
  </si>
  <si>
    <t>Do przeliczenia danych bilansowych użyto kursu średniego NBP na dzień bilansowy. 
Do przeliczenia pozycji rachunku zysków i strat oraz rachunku przepływów pieniężnych użyto kursu będącego średnią arytmetyczną kursów NBP obowiązujących na ostatni dzień poszczególnych miesięcy danego okresu.</t>
  </si>
  <si>
    <t>Nakłady na prace badawcze i rozwojowe</t>
  </si>
  <si>
    <t>MSR 38.126</t>
  </si>
  <si>
    <t>Różnica z tytułu przekazania aktywów niegotówkowych właścicielom</t>
  </si>
  <si>
    <t>KIMSF 17.15</t>
  </si>
  <si>
    <t>Koszty działalności operacyjnej</t>
  </si>
  <si>
    <t xml:space="preserve">Zużycie materiałów i energii </t>
  </si>
  <si>
    <t xml:space="preserve">Usługi obce </t>
  </si>
  <si>
    <t xml:space="preserve">Ubezpieczenia społeczne i inne świadczenia </t>
  </si>
  <si>
    <t xml:space="preserve">Pozostałe koszty rodzajowe </t>
  </si>
  <si>
    <t>Zysk (strata) ze sprzedaży</t>
  </si>
  <si>
    <t>Rybnik, ul. Raciborska 35a</t>
  </si>
  <si>
    <t>Pożyczki krókoterminowe</t>
  </si>
  <si>
    <t>Korekty konsolidacyjne</t>
  </si>
  <si>
    <t>Koszt programu opcji managerskich</t>
  </si>
  <si>
    <t>Włączenie do konsolidacji środków trwałych</t>
  </si>
  <si>
    <t>Pozostałe obciążenia</t>
  </si>
  <si>
    <t>Koszty postępowaniam sądowego</t>
  </si>
  <si>
    <t>Likwidacja środków trwałych</t>
  </si>
  <si>
    <t>Zysk (strata) na sprzedaży całości lub części udziałów jednostek podporządkowanych</t>
  </si>
  <si>
    <t>Prace rozwojowe</t>
  </si>
  <si>
    <t>Karta kredytowa</t>
  </si>
  <si>
    <t>Aktualizacja wartości inwestycji</t>
  </si>
  <si>
    <t>Obsługa Klienta</t>
  </si>
  <si>
    <t>Pozostali pracownicy</t>
  </si>
  <si>
    <t>Seria A</t>
  </si>
  <si>
    <t>na okaziciela</t>
  </si>
  <si>
    <t>Seria B</t>
  </si>
  <si>
    <t>nieistotność</t>
  </si>
  <si>
    <t>Zobowiązania z tytułu leasingu</t>
  </si>
  <si>
    <t>Rezerwa na ugodę</t>
  </si>
  <si>
    <t>Wynagrodzenie prowizyjne</t>
  </si>
  <si>
    <t>Bierne rozliczenia międzyokresowe kosztów</t>
  </si>
  <si>
    <t>Rezerwa na badanie sprawozdania finansowego</t>
  </si>
  <si>
    <t>Rozliczenia międzyokresowe, w tym:</t>
  </si>
  <si>
    <t xml:space="preserve">Rozliczenia międzyokresowe </t>
  </si>
  <si>
    <t>Emagenio sp. z o.o.</t>
  </si>
  <si>
    <t>NeronIT sp. z o.o.</t>
  </si>
  <si>
    <t>Odsetki</t>
  </si>
  <si>
    <t>UE</t>
  </si>
  <si>
    <t>Poza UE</t>
  </si>
  <si>
    <t>Fundacja Force, Rybnik</t>
  </si>
  <si>
    <t>odsetki zapłacone</t>
  </si>
  <si>
    <t>Zyski (straty) mniejszości</t>
  </si>
  <si>
    <t>Umowy współpracy</t>
  </si>
  <si>
    <t>Ubezpieczenia majątkowe, OC</t>
  </si>
  <si>
    <t>Raty za telefon</t>
  </si>
  <si>
    <t>- weryfikacja oraz opinia do historycznej informacji finansowej</t>
  </si>
  <si>
    <t>koszty finansowe leasing</t>
  </si>
  <si>
    <t>dywidendy otrzymane</t>
  </si>
  <si>
    <t>Odsetki od pożyczek</t>
  </si>
  <si>
    <t>Świadczenia wypłacane Członkom Rady Nadzorczej</t>
  </si>
  <si>
    <t>Udział w wyniku</t>
  </si>
  <si>
    <t>0-30</t>
  </si>
  <si>
    <t>31-90</t>
  </si>
  <si>
    <t>181-365</t>
  </si>
  <si>
    <t>Korekta wyniku roku poprzedniego</t>
  </si>
  <si>
    <t>bilansowa zmiana stanu rezerw z tytułu odroczonego podatku dochodowego</t>
  </si>
  <si>
    <t>Zysk na okazjonalnym nabyciu</t>
  </si>
  <si>
    <t>PFRON</t>
  </si>
  <si>
    <t>Zobowiązania z tytułu korekty VAT (ulga na złe długi)</t>
  </si>
  <si>
    <t>powyżej 365</t>
  </si>
  <si>
    <t>Jednostki powiązane nie objęte konsolidacją</t>
  </si>
  <si>
    <t>należności brutto</t>
  </si>
  <si>
    <t>odpisy akualizujące</t>
  </si>
  <si>
    <t>nalezności netto</t>
  </si>
  <si>
    <t>Seria C</t>
  </si>
  <si>
    <t>Seria D</t>
  </si>
  <si>
    <t>Dywidenda</t>
  </si>
  <si>
    <t>-wytworzenia we własnym zakresie</t>
  </si>
  <si>
    <t>Inne, w tym oprogramowanie komputerowe</t>
  </si>
  <si>
    <t>Patenty i licencje</t>
  </si>
  <si>
    <t>Znaki towarowe</t>
  </si>
  <si>
    <t>Rezerwy na usługi</t>
  </si>
  <si>
    <t>`</t>
  </si>
  <si>
    <t xml:space="preserve"> zł</t>
  </si>
  <si>
    <t>dane w zł</t>
  </si>
  <si>
    <t>Pożyczki długoterminowe</t>
  </si>
  <si>
    <t>Fundacja Rozwoju i Ochrony Komunikacji Elektronicznej</t>
  </si>
  <si>
    <t>Sare GmbH, Berlin</t>
  </si>
  <si>
    <t>Środki pieniężne na rachunkach bankowych</t>
  </si>
  <si>
    <t>Inne</t>
  </si>
  <si>
    <t>Paypal, Payu, Tpay</t>
  </si>
  <si>
    <t>Zwrot zasądzonych kosztów sądowych</t>
  </si>
  <si>
    <t>Koszty według rodzajów ogółem</t>
  </si>
  <si>
    <t>Środki trwałe w budowie</t>
  </si>
  <si>
    <t>Inne rozliczenia międzyokresowe</t>
  </si>
  <si>
    <t>Rezerwa na usługi</t>
  </si>
  <si>
    <t>Sales Intelligence S.A.</t>
  </si>
  <si>
    <t>Fast White Cat S.A.</t>
  </si>
  <si>
    <t>- przyjęcie środka trwałego</t>
  </si>
  <si>
    <t>- sprzedaż</t>
  </si>
  <si>
    <t>Amortyzacja przed objęciem konroli</t>
  </si>
  <si>
    <t>korekta konsolidacyjna*</t>
  </si>
  <si>
    <t>Przychody przyszłych okresów</t>
  </si>
  <si>
    <t>Korekty związane z wprowadzeniem MSSF 9</t>
  </si>
  <si>
    <t>Stan odpisów aktualizujących wartość należności handlowych na początek okresu po korektach</t>
  </si>
  <si>
    <t>- odpis aktualizujący MSSF 9</t>
  </si>
  <si>
    <t>- wycena bilansowa</t>
  </si>
  <si>
    <t>- oddalenie powództwa</t>
  </si>
  <si>
    <t>- wyksięgowanie należności i odpisu</t>
  </si>
  <si>
    <t>Licencje</t>
  </si>
  <si>
    <t>Konta email, serwery, konta na portalach internetowych</t>
  </si>
  <si>
    <t>Refaktury</t>
  </si>
  <si>
    <t>Wyksięgowanie rozrachunków</t>
  </si>
  <si>
    <t>Polinvest 7 S.a.r.l.</t>
  </si>
  <si>
    <t>Salelifter sp. z o.o.</t>
  </si>
  <si>
    <t>JU sp. z o.o.</t>
  </si>
  <si>
    <t>Videotarget sp. z o.o.</t>
  </si>
  <si>
    <t>Zwiększenia stanu z tytułu przejęcia kolejnych udziałów</t>
  </si>
  <si>
    <t>Zakup udziałów od udziałowców mniejszościowych</t>
  </si>
  <si>
    <t>Utworzenie kapitału rezerwowego</t>
  </si>
  <si>
    <t>Zakup udziałów mniejszości</t>
  </si>
  <si>
    <t>Sprzedaż udziałów mniejszości</t>
  </si>
  <si>
    <t>Zwiekszenia</t>
  </si>
  <si>
    <t>Zmniejszenia</t>
  </si>
  <si>
    <t>Nakłady na prace rozwojowe</t>
  </si>
  <si>
    <t>- przyjęcia projektów na wartości niematerialne i prawne</t>
  </si>
  <si>
    <t xml:space="preserve">zwiększania </t>
  </si>
  <si>
    <t>Amortyzacja przed objęciem kontroli</t>
  </si>
  <si>
    <t>Zwiększenie/zmniejszenie stanu zapasów</t>
  </si>
  <si>
    <t>Zwiększenie/zmniejszenie stanu należności</t>
  </si>
  <si>
    <t>Zwiększenie/zmniejszenie stanu zobowiązań, z wyjątkiem kredytów i pożyczek oraz innych zobowiązań finansowych</t>
  </si>
  <si>
    <t>Zmiana stanu rozliczeń międzyokresowych</t>
  </si>
  <si>
    <t xml:space="preserve">Pozostałe </t>
  </si>
  <si>
    <t>Podatek dochodowy zapłacony</t>
  </si>
  <si>
    <t>Sprzedaż rzeczowych aktywów trwałych i aktywów niematerialnych</t>
  </si>
  <si>
    <t>Sprzedaż nieruchomości inwestycyjnych</t>
  </si>
  <si>
    <t>Sprzedaż inwestycji w jednostkach zależnych, stowarzyszonych i wspólnych przedsięwzięciach</t>
  </si>
  <si>
    <t xml:space="preserve">Spłata udzielonych pożyczek </t>
  </si>
  <si>
    <t>Nabycie inwestycji w jednostkach zależnych, stowarzyszonych i wspólnych przedsięwzięciach</t>
  </si>
  <si>
    <t>Udzielenie pożyczek</t>
  </si>
  <si>
    <t>Wpływy z tytułu emisji akcji</t>
  </si>
  <si>
    <t>Wpływy z tytułu zaciągnięcia pożyczek/kredytów</t>
  </si>
  <si>
    <t>Dywidendy wypłacone</t>
  </si>
  <si>
    <t>Spłaty pożyczek/kredytów</t>
  </si>
  <si>
    <t>Spłata zobowiązań z tytułu leasingu finansowego</t>
  </si>
  <si>
    <t>Odsetki zapłacone</t>
  </si>
  <si>
    <t>Rozliczenie międzyokresowe przychodów</t>
  </si>
  <si>
    <t>Spisanie aktywa do wysokości rezerwy</t>
  </si>
  <si>
    <t>korekta z tytułu leasingu finansowego</t>
  </si>
  <si>
    <t>DIGITREE GROUP S.A.</t>
  </si>
  <si>
    <t>Wynik za rok 2019</t>
  </si>
  <si>
    <t>Wartość bilansowa brutto na dzień 01.01.2019 po korekcie konsolidacyjnej</t>
  </si>
  <si>
    <t>Umorzenie na dzień 01.01.2019 po korekcie konsolidacyjnej</t>
  </si>
  <si>
    <t>Odpisy aktualizujące na dzień 01.01.2019 po korekcie konsolidacyjnej</t>
  </si>
  <si>
    <t>- wytworzenia we własnym zakresie</t>
  </si>
  <si>
    <t>- przyjęcia projektów na wartości niematerialne</t>
  </si>
  <si>
    <t>Zwiększenia</t>
  </si>
  <si>
    <t>Prawo do użytkowania lokalu</t>
  </si>
  <si>
    <t>Prawo do użytkowania samochodu</t>
  </si>
  <si>
    <t>Korekta - zmiana polityki rachunkowości</t>
  </si>
  <si>
    <t>korekta - zmiana polityki rachunkowości</t>
  </si>
  <si>
    <t>Prawo do użytkowania</t>
  </si>
  <si>
    <t xml:space="preserve">Wartość bilansowa brutto na dzień 01.01.2019r. po korekcie </t>
  </si>
  <si>
    <t>Inis sp. z o.o.</t>
  </si>
  <si>
    <t>Zmiany stanu wartości firmy z konsolidacji</t>
  </si>
  <si>
    <t>Amortyzacja Prawo do użytkowania</t>
  </si>
  <si>
    <t xml:space="preserve">Dotacje </t>
  </si>
  <si>
    <t>Strata ze zbycia inwestycji</t>
  </si>
  <si>
    <t>Koszty finansowe z tytułu leasingu</t>
  </si>
  <si>
    <t>Kampanie reklamowe i projekty</t>
  </si>
  <si>
    <t>TRANSAKCJE Z PODMIOTAMI POWIĄZANYMI OBJĘTYMI I NIE OBJĘTYMI KONSOLIDACJĄ</t>
  </si>
  <si>
    <t>Marketing</t>
  </si>
  <si>
    <t xml:space="preserve">Dział IT </t>
  </si>
  <si>
    <t>Odpisy aktualizujące prace rozwojowe</t>
  </si>
  <si>
    <t>Noty Synergia</t>
  </si>
  <si>
    <t>Odpis aktualizujący</t>
  </si>
  <si>
    <t>Pozycje,  które mogą być przekwalifikowane do rachunku zysków i strat w kolejnych okresach</t>
  </si>
  <si>
    <t>Zabezpieczenie przepływów pieniężnych</t>
  </si>
  <si>
    <t>Aktualizacja wartości aktywów finansowych</t>
  </si>
  <si>
    <t>Różnice kursowe z przeliczenia jednostek zagranicznych</t>
  </si>
  <si>
    <t>Udział w innych dochodach całkowitych jednostek stowarzyszonych i wspólnych przedsięwzięć</t>
  </si>
  <si>
    <t>Pozycje, które nie mogą być przekwalifikowane do rachunku zysków i strat w kolejnych okresach</t>
  </si>
  <si>
    <t>Zyski (straty) aktuarialne</t>
  </si>
  <si>
    <t>Inne dochody całkowite</t>
  </si>
  <si>
    <t>Seria E</t>
  </si>
  <si>
    <t>Seria G</t>
  </si>
  <si>
    <t>emisja akcji serii E</t>
  </si>
  <si>
    <t>emisja akcji serii G</t>
  </si>
  <si>
    <t>Adepto sp. z o.o, Rybnik</t>
  </si>
  <si>
    <t>Korekta - zmiana polityki rachunkowości (MSSF 16)</t>
  </si>
  <si>
    <t>Prawo do użytkowania sprzętu</t>
  </si>
  <si>
    <t>korekta o zmianę zobowiązania z tyt. innych zobowiązań</t>
  </si>
  <si>
    <t xml:space="preserve">Dochody całkowite netto </t>
  </si>
  <si>
    <t>Dochody całkowite przypisane akcjonariuszom niekontrolującym</t>
  </si>
  <si>
    <t>Dochody całkowite przypadająca na podmiot dominujący</t>
  </si>
  <si>
    <t>Kapitał z wyceny instrumentów finansowych</t>
  </si>
  <si>
    <t>Wycena do wartości godziwej na dzień utraty kontroli</t>
  </si>
  <si>
    <t>Wycena aktywów finansowych (Inne całkowite dochody)</t>
  </si>
  <si>
    <t>Aktywa przeznaczone do zbycia</t>
  </si>
  <si>
    <t>Wynik za rok 2020</t>
  </si>
  <si>
    <t>Pozycja sprawozdania</t>
  </si>
  <si>
    <t>Pozostałe należności</t>
  </si>
  <si>
    <t>Wycena rachunków walutowych</t>
  </si>
  <si>
    <t>Umorzenie na dzień 01.01.2020 po korekcie konsolidacyjnej</t>
  </si>
  <si>
    <t xml:space="preserve">Wartość bilansowa brutto na dzień 01.01.2020r. po korekcie </t>
  </si>
  <si>
    <t xml:space="preserve">Umorzenie na dzień 01.01.2020r. po korekcie </t>
  </si>
  <si>
    <t>Wartość bilansowa brutto na dzień 01.01.2020 po korekcie konsolidacyjnej</t>
  </si>
  <si>
    <t>Odpisy aktualizujące na dzień 01.01.2020 po korekcie konsolidacyjnej</t>
  </si>
  <si>
    <t>Zmniejszenie stanu z tytułu odpisu aktualizującego</t>
  </si>
  <si>
    <t>Udziały ADEPTO Sp. z o.o. zostały na moment utraty kontroli wycenione w wartości godziwej w oparciu o cenę rynkową zapłaconą przez niepowiązanych akcjonariuszy. Wartość ta wyniosła 533 333 zł.</t>
  </si>
  <si>
    <t>Metoda wyceny</t>
  </si>
  <si>
    <t>wycena metodą praw własności</t>
  </si>
  <si>
    <t xml:space="preserve">Wartość godziwa udziałów na moment utraty kontroli </t>
  </si>
  <si>
    <t>Wypracowane wyniki przypadające na Jednostkę Dominującą</t>
  </si>
  <si>
    <t>Rezerwa na wynagrodzenie prowizyjne</t>
  </si>
  <si>
    <t>opcja PUT</t>
  </si>
  <si>
    <t>- sprzedaży spółki zależnej (brak konsolidacji)</t>
  </si>
  <si>
    <t xml:space="preserve">Tomasz Pruszczyński </t>
  </si>
  <si>
    <t>Andrzej Słomka</t>
  </si>
  <si>
    <t>Należności od podmiotów powiązanych, w tym z tyt. udzielonych pożyczek</t>
  </si>
  <si>
    <t>Zobowiązania wobec podmiotów powiązanych, w tym z tyt. otrzymanych pożyczek</t>
  </si>
  <si>
    <t xml:space="preserve"> - likwidacji</t>
  </si>
  <si>
    <t>- za przegląd półrocznego sprawozdania finansowego skonsolidowanego oraz przegląd jednostkowego sprawozdania finansowego</t>
  </si>
  <si>
    <t>- za raport z oceny sprawozdania o wynagrodzeniach</t>
  </si>
  <si>
    <t xml:space="preserve"> -  PFR</t>
  </si>
  <si>
    <t>Dofinansowanie COVID-19</t>
  </si>
  <si>
    <t>Sprzedaż udziałów w Videotarget</t>
  </si>
  <si>
    <t>Zysk ze zbycia niefinansowych aktywów trwałych (MSSF 16)</t>
  </si>
  <si>
    <t xml:space="preserve">Aktualizacja wartości WNIP </t>
  </si>
  <si>
    <t>Aktualizacja wartości prac rozwojowych</t>
  </si>
  <si>
    <t>Dopłata za akcje FWC</t>
  </si>
  <si>
    <t>Aktualizacja wartości pożyczek</t>
  </si>
  <si>
    <t xml:space="preserve">Kary umowne </t>
  </si>
  <si>
    <t>Prowizja od przyznanych kredytów</t>
  </si>
  <si>
    <t>Środki na rachunku karty kredytowej</t>
  </si>
  <si>
    <t>Środki pieniężne w kasie</t>
  </si>
  <si>
    <t>MSSF 16 Leasing</t>
  </si>
  <si>
    <t>Zysk (strata) jednostek wycenianych metodą praw własności</t>
  </si>
  <si>
    <t>Odpisy aktualizujące WNIP</t>
  </si>
  <si>
    <t>Likwidacja prawa do użytkowania</t>
  </si>
  <si>
    <t>Likwidacja/sprzedaż nieumorzonych ŚT i WNIP</t>
  </si>
  <si>
    <t>Odpisy aktualizujące udzielone pożyczki</t>
  </si>
  <si>
    <t>Sprzedaż udziałów w spółkach zależnych</t>
  </si>
  <si>
    <t>zmiana stanu zobowiązań długoterminowych wynikająca z bilansu</t>
  </si>
  <si>
    <t>Zmiana kapitałów</t>
  </si>
  <si>
    <t>zysk na sprzedaży całości lub części udziałów jednostek podporządkowanych</t>
  </si>
  <si>
    <t>odpisy aktualizujące wartość udziałów</t>
  </si>
  <si>
    <t>odpisy aktualizujące wartość firmy</t>
  </si>
  <si>
    <t>-dokonanie odpisów na należności w związku z zastosowaniem MSSF 9</t>
  </si>
  <si>
    <t>Sprzedaż spółki</t>
  </si>
  <si>
    <t>Wynagrodzenie należne za rok obrotowy</t>
  </si>
  <si>
    <t>Tabela wymagalności w nominałach</t>
  </si>
  <si>
    <t>Poniżej roku</t>
  </si>
  <si>
    <t>Od 1 do 2 lat</t>
  </si>
  <si>
    <t>Od 2 do 5 lat</t>
  </si>
  <si>
    <t>Ponad 5 lat</t>
  </si>
  <si>
    <t>60 – 90 dni</t>
  </si>
  <si>
    <t>90 –180 dni</t>
  </si>
  <si>
    <t>180 – 360 dni</t>
  </si>
  <si>
    <t>Kredyt na refinansowanie inwestycji</t>
  </si>
  <si>
    <t>Kredyt w rachunku bieżącym</t>
  </si>
  <si>
    <t>Otrzymana pożyczka</t>
  </si>
  <si>
    <t>Zobowiązania z tyt. leasingu</t>
  </si>
  <si>
    <t>Opcja PUT</t>
  </si>
  <si>
    <t>Aktywa wyceniane w zamortyzowanym koszcie</t>
  </si>
  <si>
    <t>Zobowiązania wyceniane w zamortyzowanym koszcie</t>
  </si>
  <si>
    <t>Aktywa wyceniane w wartości godziwej przez wynik finansowy</t>
  </si>
  <si>
    <t>Aktywa wyceniane w wartości godziwej przez całkowite dochody</t>
  </si>
  <si>
    <t>Przychody/koszty z tytułu odsetek</t>
  </si>
  <si>
    <t>Zyski/straty z tytułu różnic kursowych</t>
  </si>
  <si>
    <t>Utworzenie (-)/odwrócenie odpisów aktualizujących(+)</t>
  </si>
  <si>
    <t>Zyski/straty z tytułu wyceny do wartości godziwej</t>
  </si>
  <si>
    <t>Zyski/straty z tytułu sprzedaży</t>
  </si>
  <si>
    <t>Przychody/koszty z tytułu dyskonta należności/zobowiązań</t>
  </si>
  <si>
    <t>Utworzenie(-)/odwrócenie odpisów aktualizujących(+)</t>
  </si>
  <si>
    <t>Wpływy z tytułu zaciągnięcia zadłużenia:</t>
  </si>
  <si>
    <t>- otrzymane finansowanie</t>
  </si>
  <si>
    <t>- zawarcie nowych umów leasingu</t>
  </si>
  <si>
    <t>Korekty wynikające ze zmian w umowach leasingu</t>
  </si>
  <si>
    <t>Naliczone odsetki i prowizje</t>
  </si>
  <si>
    <t>Płatności z tytułu zadłużenia:</t>
  </si>
  <si>
    <t>- spłata zobowiązania (kapitału)</t>
  </si>
  <si>
    <t>- zapłacone odsetki i prowizje</t>
  </si>
  <si>
    <t>- spłata linii kredytowej</t>
  </si>
  <si>
    <t>Różnice kursowe</t>
  </si>
  <si>
    <t>Inne zwiększenia/zmniejszenia</t>
  </si>
  <si>
    <t>- zwiększenie linii kredytowej</t>
  </si>
  <si>
    <t>Nazwa</t>
  </si>
  <si>
    <t>AKTYWA WYCENIANE W ZAMORTYZOWANYM KOSZCIE</t>
  </si>
  <si>
    <t>ZOBOWIĄZANIA WYCENIANE W ZAMORTYZOWANYM KOSZCIE</t>
  </si>
  <si>
    <t xml:space="preserve">Pozostałe zobowiązania   </t>
  </si>
  <si>
    <t>AKTYWA WYCENIANE W WARTOŚCI GODZIWEJ PRZEZ WYNIK FINANSOWY</t>
  </si>
  <si>
    <t>AKTYWA WYCENIANE W WARTOŚCI GODZIWEJ PRZEZ CAŁKOWITE DOCHODY</t>
  </si>
  <si>
    <t>Bank</t>
  </si>
  <si>
    <t>Rating</t>
  </si>
  <si>
    <t>Agencja ratingująca</t>
  </si>
  <si>
    <t>A</t>
  </si>
  <si>
    <t xml:space="preserve">AAA </t>
  </si>
  <si>
    <t>FITCH</t>
  </si>
  <si>
    <t>B</t>
  </si>
  <si>
    <t>C</t>
  </si>
  <si>
    <t>BBB+</t>
  </si>
  <si>
    <t>nd</t>
  </si>
  <si>
    <t>D</t>
  </si>
  <si>
    <t>AA</t>
  </si>
  <si>
    <t>SUMA</t>
  </si>
  <si>
    <t>Nazwa projektu</t>
  </si>
  <si>
    <t>Forma pomocy</t>
  </si>
  <si>
    <t>Podmiot udzielający</t>
  </si>
  <si>
    <t>Kwota otrzymana</t>
  </si>
  <si>
    <t>Polskiego Funduszu Rozwoju, ul. Krucza 50, 00-025 Warszawa</t>
  </si>
  <si>
    <t>Projekt More.Sale (produkt SaaS) - POIR 01.01.01-00-0632/18 (dotacja na wytworzenie wartości niematerialnej i prawnej)</t>
  </si>
  <si>
    <t>Korekty konsolidacyjne*</t>
  </si>
  <si>
    <t>Podatek po uwzględnieniu korekt</t>
  </si>
  <si>
    <t>Podatek wyliczony według stawki 19%</t>
  </si>
  <si>
    <t>Uzgodnienie efektywnej stawki podatkowej</t>
  </si>
  <si>
    <t>Efekt podatkowy przychodów niebędących przychodami wg przepisów podatkowych</t>
  </si>
  <si>
    <t>Efekt podatkowy kosztów niestanowiących kosztów uzyskania przychodów wg przepisów podatkowych</t>
  </si>
  <si>
    <t>Efekt podatkowy zastosowanych ulg i odliczeń</t>
  </si>
  <si>
    <t>Korekty wykazane w bieżącym okresie w odniesieniu do podatku lat ubiegłych</t>
  </si>
  <si>
    <t>Dotacja Predictus umowa nr UDA-RPSL.03.03.00-24-0881/16-00 (dotacja na wytworzenie wartości niematerialnej i prawnej)</t>
  </si>
  <si>
    <t>Dotacje – dodatkowe informacje</t>
  </si>
  <si>
    <t>Nota 7. ZYSK PRZYPADAJĄCY NA JEDNĄ AKCJĘ</t>
  </si>
  <si>
    <t>Nota 9. RZECZOWE AKTYWA TRWAŁE</t>
  </si>
  <si>
    <t>Nota 10. WARTOŚCI NIEMATERIALNE</t>
  </si>
  <si>
    <t>Nota 11. PRAWO DO UŻYTKOWANIA</t>
  </si>
  <si>
    <t>Nota 12. WARTOŚĆ FIRMY</t>
  </si>
  <si>
    <t>Nota 13. INWESTYCJE W JEDNOSTKACH POWIĄZANYCH WYCENIANYCH METODĄ PRAW WŁASNOŚCI</t>
  </si>
  <si>
    <t>Nota 14. AKCJE / UDZIAŁY W JEDNOSTKACH PODPORZĄDKOWANYCH NIE OBJĘTYCH KONSOLIDACJĄ</t>
  </si>
  <si>
    <t>Podział instrumentów finansowych</t>
  </si>
  <si>
    <t>Pozycje przychodów, kosztów, zysków i strat ujęte w rachunku zysków i strat w podziale na kategorie instrumentów finansowych</t>
  </si>
  <si>
    <t>Nota 19. ROZLICZENIA MIĘDZYOKRESOWE</t>
  </si>
  <si>
    <t>Zmiana stanu zadłużenia</t>
  </si>
  <si>
    <t>01.01.2021-31.12.2021</t>
  </si>
  <si>
    <t>Wynik za rok 2021</t>
  </si>
  <si>
    <t>Kapitał własny na dzień 01.01.2021</t>
  </si>
  <si>
    <t>Kapitał własny na dzień 31.12.2021</t>
  </si>
  <si>
    <t>Dwanaście miesięcy zakończonych 31.12.2021</t>
  </si>
  <si>
    <t>Informacja o poszcególnych segmentach operacyjnych wystepujacych w okresie 01.01.2021-31.12.2021</t>
  </si>
  <si>
    <t>Rodzaj asortymentu 01.01.2021-31.12.2021</t>
  </si>
  <si>
    <t>Segmenty geograficzne za okres 01.01.2021-31.12.2021</t>
  </si>
  <si>
    <t>01.01.2021 - 31.12.2021</t>
  </si>
  <si>
    <t xml:space="preserve">- sprzedaży </t>
  </si>
  <si>
    <t>Wartość bilansowa netto na dzień 31.12.2021r.</t>
  </si>
  <si>
    <t>Umorzenie na dzień 31.12.2021r.</t>
  </si>
  <si>
    <t>Umorzenie na dzień 01.01.2021r.</t>
  </si>
  <si>
    <t>Wartość bilansowa brutto na dzień 31.12.2021r.</t>
  </si>
  <si>
    <t>Wartość bilansowa brutto na dzień 01.01.2021r.</t>
  </si>
  <si>
    <t>Zmiany prawa do użytkowania (wg grup rodzajowych) - za okres 01.01.2021-31.12.2021</t>
  </si>
  <si>
    <t>Inwestycje w jednostkach powiązanych wycenianych metodą praw własności na dzień 31.12.2021r.</t>
  </si>
  <si>
    <t>Stan na 1 stycznia 2021r.</t>
  </si>
  <si>
    <t>Stan na 31 grudnia 2021r.</t>
  </si>
  <si>
    <t>Stan na 01.01.2021</t>
  </si>
  <si>
    <t>Stan na 31.12.2021, w tym</t>
  </si>
  <si>
    <t>Stan na 31.12.2021, w tym:</t>
  </si>
  <si>
    <t>Bieżące i przeterminowane należności handlowe na 31.12.2021 r.</t>
  </si>
  <si>
    <t>Kapitał zakładowy struktura na dzień 31.12.2021</t>
  </si>
  <si>
    <t>RMK ujmujemy jako należności długoterminowe</t>
  </si>
  <si>
    <t>RMK ujmujemy jako należności krótkoterminowe</t>
  </si>
  <si>
    <t>Umorzenie pożyczki PFR</t>
  </si>
  <si>
    <t>Wyksięgowanie ulgi na złe długi</t>
  </si>
  <si>
    <t>Dotacja Interfejs sklepu internetowego - POIR.01.01.01-00-1812/20-00 
(dotacja na wytworzenie wartości niematerialnej i prawnej)</t>
  </si>
  <si>
    <t>Przychody finansowe z tytułu leasingu (MSSF16)</t>
  </si>
  <si>
    <t>Podatek wyliczony według stawki 9%</t>
  </si>
  <si>
    <t>Nienaliczone aktywa od straty podatkowej</t>
  </si>
  <si>
    <t>MPM</t>
  </si>
  <si>
    <t>Subwencja PFR przyznana w 2020 r.</t>
  </si>
  <si>
    <t>Umorzenie subwencji PFR przyznanej w 2020 r.</t>
  </si>
  <si>
    <t>Dotacja Interfejs sklepu internetowego - POIR.01.01.01-00-1812/20-00 (dotacja na wytworzenie wartości niematerialnej i prawnej)</t>
  </si>
  <si>
    <t>- zakończenia umów leasingu</t>
  </si>
  <si>
    <t xml:space="preserve"> - zakończenia umowy</t>
  </si>
  <si>
    <t xml:space="preserve">Wartość bilansowa brutto na dzień 01.01.2021r. po korekcie </t>
  </si>
  <si>
    <t>Umorzenie na dzień 01.01.2021r. po korekcie konsolidacyjnej</t>
  </si>
  <si>
    <t>Umorzenie na dzień 01.01.2020r. po korekcie konsolidacyjnej</t>
  </si>
  <si>
    <t>Zmiany wartości niematerialnych (wg grup rodzajowych) - za okres 01.01.2021-31.12.2021r.</t>
  </si>
  <si>
    <t>Odpisy aktualizujące na dzień 01.01.2021r.</t>
  </si>
  <si>
    <t>Odpisy aktualizujące na dzień 31.12.2021r.</t>
  </si>
  <si>
    <t>Wybrane dane finansowe Adepto Sp. z o.o. ze sprawozdania finansowego na dzień 31.12.2021 przygotowanego zgodnie z MSSF.</t>
  </si>
  <si>
    <t>Inwestycje w jednostkach podporządkowanych nie objętych konsolidacją na dzień 31.12.2021r.</t>
  </si>
  <si>
    <t>Nota usunięta - połączone z Pozostałe należności</t>
  </si>
  <si>
    <t>- zwiększenie kredytu na kartach kredytowych</t>
  </si>
  <si>
    <t>- spłata kredytu bankowego (kapitału)</t>
  </si>
  <si>
    <t>- umorzenie pożyczki z PFR</t>
  </si>
  <si>
    <t>- spłata pożyczki z PFR</t>
  </si>
  <si>
    <t>- z tytułu licencji (RMK)</t>
  </si>
  <si>
    <t>- z tytułu kampanii reklamowych i projektów (RMK)</t>
  </si>
  <si>
    <t>- pozostałe RMK</t>
  </si>
  <si>
    <t>- z tytułu ubezpieczeń majątkowych, OC</t>
  </si>
  <si>
    <t>- inne należności</t>
  </si>
  <si>
    <t>- z tytułu kont email, serwerów, kont na portalach internetowych</t>
  </si>
  <si>
    <t>- z tytułu rat za telefon</t>
  </si>
  <si>
    <t>Pozostałe kapitały rezerwowe</t>
  </si>
  <si>
    <t>Zyski zatrzymane</t>
  </si>
  <si>
    <t>Kapitał zapasowy z emisji akcji powyżej wartości nominalnej</t>
  </si>
  <si>
    <t xml:space="preserve">Zmiana stanu pozostałych kapitałów </t>
  </si>
  <si>
    <t>- realizacja opcji PUT</t>
  </si>
  <si>
    <t xml:space="preserve">Zmiany zasad (polityki) rachunkowości </t>
  </si>
  <si>
    <t>9/19%</t>
  </si>
  <si>
    <t>Kapitał zapasowy ze sprzedaży akcji powyżej wartości nominalnej</t>
  </si>
  <si>
    <t>Zysk / Strata netto</t>
  </si>
  <si>
    <t>Korekty wynikające z obciążeń z tytułu podatku dochodowego</t>
  </si>
  <si>
    <t>Wypłacone odsetki zaliczone do działalności operacyjnej</t>
  </si>
  <si>
    <t>Odsetki otrzymane zaliczone do działalności operacyjnej</t>
  </si>
  <si>
    <t>Nota 15. POZOSTAŁE AKTYWA FINANSOWE</t>
  </si>
  <si>
    <t xml:space="preserve">Nota 16. NALEŻNOŚCI HANDLOWE </t>
  </si>
  <si>
    <t xml:space="preserve">Nota 17. POZOSTAŁE NALEŻNOŚCI </t>
  </si>
  <si>
    <t>Nota 18. ŚRODKI PIENIĘŻNE I ICH EKWIWALENTY</t>
  </si>
  <si>
    <t>Nota 19. KAPITAŁ ZAKŁADOWY</t>
  </si>
  <si>
    <t>Nota 20. POZOSTAŁE KAPITAŁY</t>
  </si>
  <si>
    <t>Nota 21. KAPITAŁ PRZYPADAJĄCY NA AKCJONARIUSZY NIEKONTROLUJĄCYCH</t>
  </si>
  <si>
    <t>Nota 22. KREDYTY I POŻYCZKI</t>
  </si>
  <si>
    <t xml:space="preserve">Nota 23. POZOSTAŁE ZOBOWIĄZANIA FINANSOWE </t>
  </si>
  <si>
    <t>Nota 24. ZOBOWIĄZANIA HANDLOWE</t>
  </si>
  <si>
    <t xml:space="preserve">Nota 25. POZOSTAŁE ZOBOWIĄZANIA </t>
  </si>
  <si>
    <t>Nota 26. Inne Rozliczenia międzyokresowe</t>
  </si>
  <si>
    <t>Nota 27. REZERWY NA ŚWIADCZENIA EMERYTALNE I PODOBNE</t>
  </si>
  <si>
    <t>Nota 28.  POZOSTAŁE REZERWY</t>
  </si>
  <si>
    <t>Nota 29. ZARZĄDZANIE RYZYKIEM</t>
  </si>
  <si>
    <t>Nota 30. WPŁYW COVID-19</t>
  </si>
  <si>
    <t>Nota 32. ZARZĄDZANIE KAPITAŁEM</t>
  </si>
  <si>
    <t>Nota 34. WYNAGRODZENIA CZŁONKÓW ZARZĄDU, RADY NADZORCZEJ I WYŻSZEJ KADRY KIEROWNICZEJ</t>
  </si>
  <si>
    <t>Nota 35. STRUKTURA ZATRUDNIENIA</t>
  </si>
  <si>
    <t xml:space="preserve">Nota 40. INFORMACJE O TRANSAKCJACH Z PODMIOTEM DOKONUJĄCYM BADANIA SPRAWOZDANIA </t>
  </si>
  <si>
    <t>Nota 41. OBJAŚNIENIA DO SPAWOZDANIA Z PRZEPŁYWÓW PIENIĘŻNYCH</t>
  </si>
  <si>
    <t>9</t>
  </si>
  <si>
    <t>4</t>
  </si>
  <si>
    <t>3</t>
  </si>
  <si>
    <t>6</t>
  </si>
  <si>
    <t>10</t>
  </si>
  <si>
    <t>11</t>
  </si>
  <si>
    <t>18</t>
  </si>
  <si>
    <t>19</t>
  </si>
  <si>
    <t>12</t>
  </si>
  <si>
    <t>15</t>
  </si>
  <si>
    <t>16</t>
  </si>
  <si>
    <t>17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</si>
  <si>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</si>
  <si>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</si>
  <si>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</si>
  <si>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</si>
  <si>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</si>
  <si>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</si>
  <si>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</si>
  <si>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</si>
  <si>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</si>
  <si>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1,2</t>
  </si>
  <si>
    <t>5</t>
  </si>
  <si>
    <t>7</t>
  </si>
  <si>
    <t>Realizacja opcji PUT (Nota 12. Inwestycje w jednostkach podporządkowanych w sprawozdaniu jednostkowym DIGITREE GROUP S.A.)</t>
  </si>
  <si>
    <t>zmiana stanu rozliczeń międzyokresowych</t>
  </si>
  <si>
    <t>Inne wydatki finansowe</t>
  </si>
  <si>
    <t>Program motywacyjny - opcje na akcje</t>
  </si>
  <si>
    <t>Podstawowe dane i założenia</t>
  </si>
  <si>
    <t>Wielkość wycenianej puli Programu</t>
  </si>
  <si>
    <t>116.831 szt.</t>
  </si>
  <si>
    <t>Użyty model wyceny</t>
  </si>
  <si>
    <t>symulacja Monte-Carlo</t>
  </si>
  <si>
    <t>Data przyznania</t>
  </si>
  <si>
    <t>24 czerwca 2021 roku</t>
  </si>
  <si>
    <t>Okres nabywania uprawnień dla wycenianej puli Programu:</t>
  </si>
  <si>
    <t>24 czerwca 2021 roku –</t>
  </si>
  <si>
    <t xml:space="preserve"> 31 marca 2024 roku</t>
  </si>
  <si>
    <t>Cena wykonania Opcji</t>
  </si>
  <si>
    <t>Cena wejściowa do modelu wyceny</t>
  </si>
  <si>
    <t>Oczekiwana zmienność kursu akcji Spółki</t>
  </si>
  <si>
    <t>Stopa procentowa wolna od ryzyka</t>
  </si>
  <si>
    <t>Średni okres trwania życia opcji</t>
  </si>
  <si>
    <t>3,36 lata</t>
  </si>
  <si>
    <t>Założone dywidendy na jedną akcję</t>
  </si>
  <si>
    <t>Ilość symulowanych trajektorii</t>
  </si>
  <si>
    <t>75.000</t>
  </si>
  <si>
    <t>Nota 39. PROGRAM OPCJI MANAGERSKICH</t>
  </si>
  <si>
    <t xml:space="preserve">Zysk przed opodatkowaniem </t>
  </si>
  <si>
    <t>BBB-</t>
  </si>
  <si>
    <t>- za usługę atestacyjną dotycząca znakowania Inline XBRL</t>
  </si>
  <si>
    <t>Klasa aktywów</t>
  </si>
  <si>
    <t>Technika wyceny</t>
  </si>
  <si>
    <t xml:space="preserve">Istotne dane </t>
  </si>
  <si>
    <t>Zakres (średnia ważona)</t>
  </si>
  <si>
    <t>Analiza wrażliwości</t>
  </si>
  <si>
    <t>system SARE</t>
  </si>
  <si>
    <t>metoda DCF</t>
  </si>
  <si>
    <t>stopa dyskontowa</t>
  </si>
  <si>
    <t>opłata licencyjna</t>
  </si>
  <si>
    <t>Indywidualny abonament dla każdego klienta</t>
  </si>
  <si>
    <t>system INIS</t>
  </si>
  <si>
    <t>Efekt podatkowy zastosowania niższej stawki podatkowej - 9%</t>
  </si>
  <si>
    <t>01.01.2022-31.12.2022</t>
  </si>
  <si>
    <t xml:space="preserve"> za okres 01.01.2021-31.12.2021</t>
  </si>
  <si>
    <t>za okres 01.01.2021-31.12.2021</t>
  </si>
  <si>
    <t>Dwanaście miesięcy zakończonych 31.12.2022</t>
  </si>
  <si>
    <t>Kapitał własny na dzień 01.01.2022</t>
  </si>
  <si>
    <t>Kapitał własny na dzień 31.12.2022</t>
  </si>
  <si>
    <t>Wynik za rok 2022</t>
  </si>
  <si>
    <t>Segmenty geograficzne za okres 01.01.2022-31.12.2022</t>
  </si>
  <si>
    <t>01.01.2022 - 31.12.2022</t>
  </si>
  <si>
    <t>Zmiany środków trwałych (wg grup rodzajowych) za okres 01.01.2022-31.12.2022</t>
  </si>
  <si>
    <t>Wartość bilansowa brutto na dzień 01.01.2022r.</t>
  </si>
  <si>
    <t>Wartość bilansowa brutto na dzień 31.12.2022r.</t>
  </si>
  <si>
    <t xml:space="preserve">Umorzenie na dzień 01.01.2022r. </t>
  </si>
  <si>
    <t>Umorzenie na dzień 31.12.2022r.</t>
  </si>
  <si>
    <t>Wartość bilansowa netto na dzień 31.12.2022r.</t>
  </si>
  <si>
    <t>Zmiany środków trwałych (wg grup rodzajowych) za okres 01.01.2021-31.12.2021r.</t>
  </si>
  <si>
    <t>Zmiany wartości niematerialnych (wg grup rodzajowych) - za okres 01.01.2022-31.12.2022r.</t>
  </si>
  <si>
    <t>Odpisy aktualizujące na dzień 01.01.2022r.</t>
  </si>
  <si>
    <t>Odpisy aktualizujące na dzień 31.12.2022r.</t>
  </si>
  <si>
    <t>Umorzenie na dzień 01.01.2022r.</t>
  </si>
  <si>
    <t>Zmiany prawa do użytkowania (wg grup rodzajowych) - za okres 01.01.2022-31.12.2022</t>
  </si>
  <si>
    <t>Inwestycje w jednostkach powiązanych wycenianych metodą praw własności na dzień 31.12.2022r.</t>
  </si>
  <si>
    <t>2022 - nie dotyczy</t>
  </si>
  <si>
    <t>Inwestycje w jednostkach podporządkowanych nie objętych konsolidacją na dzień 31.12.2022r.</t>
  </si>
  <si>
    <t>Bieżące i przeterminowane należności handlowe na 31.12.2022 r.</t>
  </si>
  <si>
    <t>Kapitał zakładowy struktura na dzień 31.12.2022</t>
  </si>
  <si>
    <t>Stan na 1 stycznia 2021r. po zmianach polityki rachunkowości</t>
  </si>
  <si>
    <t>Stan na 1 stycznia 2022r.</t>
  </si>
  <si>
    <t>Stan na 31 grudnia 2022r.</t>
  </si>
  <si>
    <t>Inwestycje w instrumenty kapitałowe</t>
  </si>
  <si>
    <t>- zakończenia umowy</t>
  </si>
  <si>
    <t>Stan na 01.01.2022</t>
  </si>
  <si>
    <t>Stan na 31.12.2022, w tym</t>
  </si>
  <si>
    <t>Stan na 31.12.2022, w tym:</t>
  </si>
  <si>
    <t>EUVIC IT S.A</t>
  </si>
  <si>
    <t>Środki pieniężne w drodze</t>
  </si>
  <si>
    <t>Koszty przełomu roku</t>
  </si>
  <si>
    <t>- koszty przełomu roku</t>
  </si>
  <si>
    <t>n/d</t>
  </si>
  <si>
    <t>Rozliczenia miedzyokresowe przychodów</t>
  </si>
  <si>
    <t>- zwiększenie kredytu w rachunku bieżącym</t>
  </si>
  <si>
    <t>- spłata kart kredytowych</t>
  </si>
  <si>
    <t>Wynik na sprzedaży udziałów w Adepto/objęcie udziałów w FINELF</t>
  </si>
  <si>
    <t>Dotacja Projekt More.Sale (produkt SaaS) - POIR 01.01.01-00-0632/18  (dotacja na wytworzenie wartości niematerialnej i prawnej)</t>
  </si>
  <si>
    <t>Informacja o poszcególnych segmentach operacyjnych wystepujacych w okresie 01.01.2022-31.12.2022</t>
  </si>
  <si>
    <t>Rodzaj asortymentu 01.01.2022-31.12.2022</t>
  </si>
  <si>
    <t>SARE</t>
  </si>
  <si>
    <t>E-commerce software house</t>
  </si>
  <si>
    <t>Agencja digital</t>
  </si>
  <si>
    <t>Holding</t>
  </si>
  <si>
    <t>Zysk (strata) na działalności operacyjnej segmentu</t>
  </si>
  <si>
    <t>EBITDA segmentu</t>
  </si>
  <si>
    <t>Wyłączenia konsolidacyjne wynikają w głównej mierze z nieujęcia w segmantach operacji związanych z MSSF16 oraz ze sprzedażą udziałów Adepto sp. z o.o. oraz objęciem udziałów w FINELF sp. z o.o.</t>
  </si>
  <si>
    <t xml:space="preserve">Wyłączenia konsolidacyjne wynikają w głównej mierze z nieujęcia w segmantach operacji związanych z MSSF16 oraz przychodów wynikających z tzw. tarczy antykryzysowej. </t>
  </si>
  <si>
    <t>Adepto Sp. z o.o.*</t>
  </si>
  <si>
    <t>SARE GmbH**</t>
  </si>
  <si>
    <t>Jednostki powiązane osobowo ze spółką dominującą (Zarząd):</t>
  </si>
  <si>
    <t>KZ Advisory Konrad Zaczek</t>
  </si>
  <si>
    <t>UNMESS Wiktor Mazur</t>
  </si>
  <si>
    <t>* nie dotyczy w związku ze sprzedażą udziałów</t>
  </si>
  <si>
    <t>** nie dotyczy w związku z likwidacją Spółki</t>
  </si>
  <si>
    <t>Wzrost wartości udziałów w FWC</t>
  </si>
  <si>
    <t>Sprzedaż akcji w FWC</t>
  </si>
  <si>
    <t>Zmniejszenie kapitału mniejszościowego</t>
  </si>
  <si>
    <t>Nabycie inwestycji w instrumenty kapitałowe</t>
  </si>
  <si>
    <t>amortyzacja prawa do użytkowania</t>
  </si>
  <si>
    <t>Efekt podatkowy zastosowania niższej stawki podatkowej - 5%</t>
  </si>
  <si>
    <t>Wykorzystanie strat podatkowych z lat ubiegłych dla których nie utworzono aktywa</t>
  </si>
  <si>
    <t>* Zaprezentowane w Nocie 20. Pozostałe kapitały</t>
  </si>
  <si>
    <t>Rok</t>
  </si>
  <si>
    <t>Wysokość straty podatkowej</t>
  </si>
  <si>
    <t>Wysokość straty podatkowej od której nie utworzono aktywa</t>
  </si>
  <si>
    <t>Data wygaśnięcia</t>
  </si>
  <si>
    <t>Zobowiązania leasingowe</t>
  </si>
  <si>
    <t>Digital Media</t>
  </si>
  <si>
    <t>Przychody z innych segmentów</t>
  </si>
  <si>
    <t>Przychody od zewnętrznych klientów</t>
  </si>
  <si>
    <t>Konsolidacja</t>
  </si>
  <si>
    <t>Przychody wew nieujęte w segmentach</t>
  </si>
  <si>
    <t>Wyszczególnienie 01.01.2022-31.12.2022</t>
  </si>
  <si>
    <t>SMS</t>
  </si>
  <si>
    <t>Mailing</t>
  </si>
  <si>
    <t>Display</t>
  </si>
  <si>
    <t>Wdrożenia e-commerce</t>
  </si>
  <si>
    <t>System e-mailingowy</t>
  </si>
  <si>
    <t>Nokaut</t>
  </si>
  <si>
    <t>SEO</t>
  </si>
  <si>
    <t>Social Media Ads</t>
  </si>
  <si>
    <t>Search Ads</t>
  </si>
  <si>
    <t>Influencerzy</t>
  </si>
  <si>
    <t>Obsługa kampanii</t>
  </si>
  <si>
    <t>Wyszczególnienie 01.01.2021-31.12.2021</t>
  </si>
  <si>
    <t>Efekt transakcji z udziałowcami niekontrolującymi*</t>
  </si>
  <si>
    <t>Efekt transakcji z udziałowcami niekontrolującymi</t>
  </si>
  <si>
    <t>Wzrost/ spadek o 1 p.p. stopy dyskontowej będzie skutkował odpowiednio spadkiem o 298 tys./wzrostem o 323 tys. wartości godziwej.                                                                                                                                                                                                                                                                Wzrost stopy dyskontowej powyżej 11,63 p.p. spowoduje spadek wartości godziwej poniżej wartości księgowej.</t>
  </si>
  <si>
    <t>Spadek/wzrost o 1 p.p. wysokości opłaty licencyjnej będzie skutkował spadkiem/wzrostem wartości godziwej o  166 tys. PLN.</t>
  </si>
  <si>
    <t xml:space="preserve">Wzrost/ spadek o 1 p.p. stopy dyskontowej będzie skutkował odpowiednio spadkiem o 158 tys./wzrostem o 175 tys. wartości godziwej
Wzrost stopy dyskontowej powyżej 1,50 p.p. spowoduje spadek wartości godziwej poniżej wartości księgowej.
</t>
  </si>
  <si>
    <t xml:space="preserve">Spadek/wzrost o 1 p.p. wysokości opłaty licencyjnej będzie skutkował spadkiem/wzrostem wartości godziwej o 66 tys. PLN </t>
  </si>
  <si>
    <t>Wypływy związane z transakcjami z udziałowcami niekontrolującymi</t>
  </si>
  <si>
    <t>Nabycie rzeczowych aktywów trwałych i aktywów niematerialnych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</si>
</sst>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zł&quot;;[Red]\-#,##0.00\ &quot;zł&quot;"/>
    <numFmt numFmtId="43" formatCode="_-* #,##0.00\ _z_ł_-;\-* #,##0.00\ _z_ł_-;_-* &quot;-&quot;??\ _z_ł_-;_-@_-"/>
    <numFmt numFmtId="164" formatCode="#,##0_);\(#,##0\);\-______"/>
    <numFmt numFmtId="165" formatCode="#,##0.00_);\(#,##0.00\);\-______"/>
    <numFmt numFmtId="166" formatCode="0.0%"/>
    <numFmt numFmtId="167" formatCode="0.0000"/>
    <numFmt numFmtId="168" formatCode="_-* #,##0_-;\-* #,##0_-;_-* &quot;-&quot;??_-;_-@_-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23"/>
      <name val="Arial"/>
      <family val="2"/>
      <charset val="238"/>
    </font>
    <font>
      <sz val="8"/>
      <color indexed="55"/>
      <name val="Arial"/>
      <family val="2"/>
      <charset val="238"/>
    </font>
    <font>
      <i/>
      <sz val="8"/>
      <color indexed="55"/>
      <name val="Arial"/>
      <family val="2"/>
      <charset val="238"/>
    </font>
    <font>
      <b/>
      <sz val="11"/>
      <name val="Arial"/>
      <family val="2"/>
      <charset val="238"/>
    </font>
    <font>
      <i/>
      <sz val="8"/>
      <color indexed="2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u/>
      <sz val="12"/>
      <color indexed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color indexed="55"/>
      <name val="Arial"/>
      <family val="2"/>
      <charset val="238"/>
    </font>
    <font>
      <sz val="8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u/>
      <sz val="8"/>
      <color indexed="12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vertAlign val="superscript"/>
      <sz val="8"/>
      <color indexed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sz val="8"/>
      <color rgb="FF202124"/>
      <name val="Roboto"/>
      <charset val="238"/>
    </font>
    <font>
      <b/>
      <sz val="8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CCCC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8">
    <xf numFmtId="0" fontId="0" fillId="0" borderId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28" fillId="0" borderId="0"/>
    <xf numFmtId="0" fontId="58" fillId="0" borderId="0"/>
    <xf numFmtId="0" fontId="27" fillId="0" borderId="0"/>
    <xf numFmtId="0" fontId="28" fillId="0" borderId="0"/>
    <xf numFmtId="0" fontId="11" fillId="0" borderId="0"/>
    <xf numFmtId="9" fontId="11" fillId="0" borderId="0" applyFont="0" applyFill="0" applyBorder="0" applyAlignment="0" applyProtection="0"/>
    <xf numFmtId="43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8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9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/>
    <xf numFmtId="0" fontId="6" fillId="0" borderId="0"/>
    <xf numFmtId="0" fontId="11" fillId="0" borderId="0"/>
    <xf numFmtId="43" fontId="11" fillId="0" borderId="0" applyFont="0" applyFill="0" applyBorder="0" applyAlignment="0" applyProtection="0"/>
    <xf numFmtId="0" fontId="5" fillId="0" borderId="0"/>
    <xf numFmtId="0" fontId="7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1" fillId="0" borderId="0" applyFont="0" applyFill="0" applyBorder="0" applyAlignment="0" applyProtection="0"/>
    <xf numFmtId="0" fontId="4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761">
    <xf numFmtId="0" fontId="0" fillId="0" borderId="0" xfId="0"/>
    <xf numFmtId="0" fontId="16" fillId="0" borderId="0" xfId="0" applyFont="1"/>
    <xf numFmtId="0" fontId="14" fillId="0" borderId="1" xfId="0" applyFont="1" applyBorder="1" applyAlignment="1">
      <alignment wrapText="1"/>
    </xf>
    <xf numFmtId="0" fontId="21" fillId="0" borderId="0" xfId="0" applyFont="1"/>
    <xf numFmtId="0" fontId="16" fillId="0" borderId="0" xfId="0" applyFont="1" applyAlignment="1">
      <alignment vertical="center"/>
    </xf>
    <xf numFmtId="0" fontId="22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wrapText="1" inden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wrapText="1"/>
    </xf>
    <xf numFmtId="164" fontId="17" fillId="0" borderId="0" xfId="8" applyNumberFormat="1" applyFont="1" applyProtection="1">
      <protection locked="0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27" fillId="0" borderId="0" xfId="7" applyFont="1"/>
    <xf numFmtId="0" fontId="27" fillId="2" borderId="0" xfId="7" applyFont="1" applyFill="1" applyAlignment="1">
      <alignment vertical="center"/>
    </xf>
    <xf numFmtId="0" fontId="34" fillId="0" borderId="0" xfId="7" applyFont="1" applyAlignment="1">
      <alignment vertical="center"/>
    </xf>
    <xf numFmtId="0" fontId="25" fillId="0" borderId="0" xfId="7" applyFont="1" applyAlignment="1">
      <alignment vertical="center"/>
    </xf>
    <xf numFmtId="0" fontId="27" fillId="0" borderId="0" xfId="7" applyFont="1" applyAlignment="1">
      <alignment vertical="center"/>
    </xf>
    <xf numFmtId="0" fontId="35" fillId="0" borderId="0" xfId="7" applyFont="1" applyAlignment="1">
      <alignment wrapText="1"/>
    </xf>
    <xf numFmtId="4" fontId="35" fillId="0" borderId="0" xfId="7" applyNumberFormat="1" applyFont="1" applyAlignment="1" applyProtection="1">
      <alignment wrapText="1"/>
      <protection locked="0"/>
    </xf>
    <xf numFmtId="0" fontId="35" fillId="0" borderId="0" xfId="7" applyFont="1"/>
    <xf numFmtId="4" fontId="27" fillId="0" borderId="0" xfId="7" applyNumberFormat="1" applyFont="1" applyAlignment="1" applyProtection="1">
      <alignment wrapText="1"/>
      <protection locked="0"/>
    </xf>
    <xf numFmtId="0" fontId="27" fillId="0" borderId="0" xfId="7" applyFont="1" applyAlignment="1">
      <alignment wrapText="1"/>
    </xf>
    <xf numFmtId="4" fontId="36" fillId="0" borderId="0" xfId="7" applyNumberFormat="1" applyFont="1" applyAlignment="1" applyProtection="1">
      <alignment wrapText="1"/>
      <protection locked="0"/>
    </xf>
    <xf numFmtId="0" fontId="27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1" fillId="0" borderId="0" xfId="0" applyFont="1"/>
    <xf numFmtId="0" fontId="35" fillId="0" borderId="0" xfId="7" applyFont="1" applyAlignment="1">
      <alignment vertical="center"/>
    </xf>
    <xf numFmtId="0" fontId="27" fillId="3" borderId="0" xfId="7" applyFont="1" applyFill="1" applyAlignment="1">
      <alignment vertical="center"/>
    </xf>
    <xf numFmtId="0" fontId="3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justify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justify" wrapText="1"/>
    </xf>
    <xf numFmtId="0" fontId="18" fillId="0" borderId="0" xfId="2" quotePrefix="1" applyProtection="1">
      <alignment vertical="top"/>
    </xf>
    <xf numFmtId="0" fontId="27" fillId="0" borderId="0" xfId="0" applyFont="1"/>
    <xf numFmtId="0" fontId="17" fillId="0" borderId="1" xfId="0" applyFont="1" applyBorder="1" applyAlignment="1">
      <alignment horizontal="left"/>
    </xf>
    <xf numFmtId="0" fontId="37" fillId="0" borderId="0" xfId="0" applyFont="1"/>
    <xf numFmtId="0" fontId="37" fillId="0" borderId="0" xfId="0" applyFont="1" applyAlignment="1">
      <alignment vertical="center"/>
    </xf>
    <xf numFmtId="0" fontId="38" fillId="0" borderId="1" xfId="0" applyFont="1" applyBorder="1" applyAlignment="1">
      <alignment wrapText="1"/>
    </xf>
    <xf numFmtId="0" fontId="12" fillId="0" borderId="0" xfId="0" applyFont="1"/>
    <xf numFmtId="3" fontId="17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justify" wrapText="1"/>
    </xf>
    <xf numFmtId="0" fontId="12" fillId="0" borderId="1" xfId="0" applyFont="1" applyBorder="1" applyAlignment="1">
      <alignment horizontal="justify" wrapText="1"/>
    </xf>
    <xf numFmtId="0" fontId="40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7" fillId="0" borderId="0" xfId="0" applyFont="1"/>
    <xf numFmtId="0" fontId="17" fillId="0" borderId="1" xfId="0" applyFont="1" applyBorder="1"/>
    <xf numFmtId="0" fontId="17" fillId="0" borderId="0" xfId="0" applyFont="1" applyAlignment="1">
      <alignment horizontal="left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4" fillId="0" borderId="0" xfId="0" applyFont="1" applyAlignment="1">
      <alignment horizontal="justify" vertical="top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wrapText="1"/>
    </xf>
    <xf numFmtId="0" fontId="0" fillId="0" borderId="0" xfId="0" applyAlignment="1">
      <alignment vertical="top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top" wrapText="1"/>
    </xf>
    <xf numFmtId="0" fontId="19" fillId="0" borderId="0" xfId="0" applyFont="1" applyAlignment="1">
      <alignment horizontal="justify" vertical="top" wrapText="1"/>
    </xf>
    <xf numFmtId="0" fontId="13" fillId="0" borderId="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left" wrapText="1"/>
    </xf>
    <xf numFmtId="0" fontId="14" fillId="0" borderId="1" xfId="0" applyFont="1" applyBorder="1" applyAlignment="1">
      <alignment horizontal="left" wrapText="1"/>
    </xf>
    <xf numFmtId="3" fontId="17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wrapText="1"/>
    </xf>
    <xf numFmtId="3" fontId="16" fillId="0" borderId="1" xfId="0" applyNumberFormat="1" applyFont="1" applyBorder="1"/>
    <xf numFmtId="3" fontId="13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vertical="center"/>
    </xf>
    <xf numFmtId="0" fontId="37" fillId="0" borderId="1" xfId="0" applyFont="1" applyBorder="1" applyAlignment="1">
      <alignment horizontal="justify" wrapText="1"/>
    </xf>
    <xf numFmtId="0" fontId="14" fillId="0" borderId="0" xfId="0" applyFont="1" applyAlignment="1">
      <alignment wrapText="1"/>
    </xf>
    <xf numFmtId="0" fontId="13" fillId="0" borderId="1" xfId="0" applyFont="1" applyBorder="1" applyAlignment="1">
      <alignment horizontal="left" vertical="top" wrapText="1"/>
    </xf>
    <xf numFmtId="0" fontId="20" fillId="0" borderId="0" xfId="0" applyFont="1"/>
    <xf numFmtId="0" fontId="12" fillId="0" borderId="1" xfId="0" applyFont="1" applyBorder="1" applyAlignment="1">
      <alignment wrapText="1"/>
    </xf>
    <xf numFmtId="3" fontId="17" fillId="0" borderId="1" xfId="0" applyNumberFormat="1" applyFont="1" applyBorder="1"/>
    <xf numFmtId="3" fontId="17" fillId="0" borderId="4" xfId="0" applyNumberFormat="1" applyFont="1" applyBorder="1"/>
    <xf numFmtId="0" fontId="21" fillId="0" borderId="0" xfId="0" applyFont="1" applyAlignment="1">
      <alignment vertical="top" wrapText="1"/>
    </xf>
    <xf numFmtId="0" fontId="24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2" fillId="0" borderId="1" xfId="0" applyFont="1" applyBorder="1" applyAlignment="1">
      <alignment horizontal="left" wrapText="1" indent="1"/>
    </xf>
    <xf numFmtId="3" fontId="17" fillId="0" borderId="1" xfId="0" quotePrefix="1" applyNumberFormat="1" applyFont="1" applyBorder="1"/>
    <xf numFmtId="0" fontId="17" fillId="0" borderId="0" xfId="0" applyFont="1" applyAlignment="1">
      <alignment horizontal="right" wrapText="1"/>
    </xf>
    <xf numFmtId="3" fontId="16" fillId="0" borderId="0" xfId="0" quotePrefix="1" applyNumberFormat="1" applyFont="1"/>
    <xf numFmtId="0" fontId="17" fillId="0" borderId="1" xfId="0" applyFont="1" applyBorder="1" applyAlignment="1">
      <alignment vertical="center" wrapText="1"/>
    </xf>
    <xf numFmtId="0" fontId="17" fillId="0" borderId="5" xfId="0" applyFont="1" applyBorder="1" applyAlignment="1">
      <alignment wrapText="1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/>
    <xf numFmtId="0" fontId="26" fillId="0" borderId="0" xfId="0" applyFont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7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/>
    </xf>
    <xf numFmtId="0" fontId="17" fillId="4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right"/>
    </xf>
    <xf numFmtId="0" fontId="40" fillId="0" borderId="1" xfId="0" applyFont="1" applyBorder="1" applyAlignment="1">
      <alignment horizontal="justify" wrapText="1"/>
    </xf>
    <xf numFmtId="0" fontId="12" fillId="0" borderId="1" xfId="0" applyFont="1" applyBorder="1" applyAlignment="1">
      <alignment horizontal="left"/>
    </xf>
    <xf numFmtId="0" fontId="19" fillId="0" borderId="0" xfId="0" applyFont="1" applyAlignment="1">
      <alignment horizontal="justify"/>
    </xf>
    <xf numFmtId="0" fontId="17" fillId="4" borderId="1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13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wrapText="1"/>
    </xf>
    <xf numFmtId="3" fontId="17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vertical="top" wrapText="1"/>
    </xf>
    <xf numFmtId="0" fontId="23" fillId="0" borderId="0" xfId="0" applyFont="1"/>
    <xf numFmtId="0" fontId="15" fillId="0" borderId="0" xfId="0" applyFont="1" applyAlignment="1">
      <alignment horizontal="justify"/>
    </xf>
    <xf numFmtId="0" fontId="12" fillId="0" borderId="1" xfId="0" quotePrefix="1" applyFont="1" applyBorder="1"/>
    <xf numFmtId="3" fontId="17" fillId="0" borderId="1" xfId="0" applyNumberFormat="1" applyFont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7" fillId="0" borderId="1" xfId="8" applyNumberFormat="1" applyFont="1" applyBorder="1" applyProtection="1">
      <protection locked="0"/>
    </xf>
    <xf numFmtId="3" fontId="17" fillId="0" borderId="1" xfId="8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justify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7" fillId="4" borderId="1" xfId="0" applyFont="1" applyFill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wrapText="1"/>
    </xf>
    <xf numFmtId="0" fontId="24" fillId="0" borderId="0" xfId="0" applyFont="1" applyAlignment="1">
      <alignment horizontal="justify" wrapText="1"/>
    </xf>
    <xf numFmtId="49" fontId="40" fillId="0" borderId="1" xfId="0" applyNumberFormat="1" applyFont="1" applyBorder="1" applyAlignment="1">
      <alignment wrapText="1"/>
    </xf>
    <xf numFmtId="164" fontId="17" fillId="4" borderId="1" xfId="8" applyNumberFormat="1" applyFont="1" applyFill="1" applyBorder="1" applyAlignment="1" applyProtection="1">
      <alignment horizontal="center" vertical="center"/>
      <protection locked="0"/>
    </xf>
    <xf numFmtId="166" fontId="17" fillId="0" borderId="0" xfId="8" applyNumberFormat="1" applyFont="1" applyProtection="1">
      <protection locked="0"/>
    </xf>
    <xf numFmtId="0" fontId="17" fillId="4" borderId="1" xfId="0" applyFont="1" applyFill="1" applyBorder="1" applyAlignment="1">
      <alignment horizontal="right" wrapText="1"/>
    </xf>
    <xf numFmtId="0" fontId="13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vertical="top" wrapText="1"/>
    </xf>
    <xf numFmtId="3" fontId="17" fillId="0" borderId="0" xfId="8" applyNumberFormat="1" applyFont="1" applyProtection="1">
      <protection locked="0"/>
    </xf>
    <xf numFmtId="3" fontId="17" fillId="0" borderId="1" xfId="0" applyNumberFormat="1" applyFont="1" applyBorder="1" applyAlignment="1">
      <alignment horizontal="right"/>
    </xf>
    <xf numFmtId="0" fontId="24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3" fontId="14" fillId="0" borderId="1" xfId="0" applyNumberFormat="1" applyFont="1" applyBorder="1" applyAlignment="1">
      <alignment vertical="center" wrapText="1"/>
    </xf>
    <xf numFmtId="3" fontId="14" fillId="0" borderId="4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vertical="top" wrapText="1"/>
    </xf>
    <xf numFmtId="3" fontId="13" fillId="0" borderId="4" xfId="0" applyNumberFormat="1" applyFont="1" applyBorder="1" applyAlignment="1">
      <alignment horizontal="center" vertical="center" wrapText="1"/>
    </xf>
    <xf numFmtId="3" fontId="17" fillId="0" borderId="1" xfId="0" quotePrefix="1" applyNumberFormat="1" applyFont="1" applyBorder="1" applyAlignment="1">
      <alignment vertical="center"/>
    </xf>
    <xf numFmtId="3" fontId="17" fillId="0" borderId="3" xfId="0" applyNumberFormat="1" applyFont="1" applyBorder="1"/>
    <xf numFmtId="3" fontId="17" fillId="0" borderId="5" xfId="0" applyNumberFormat="1" applyFont="1" applyBorder="1"/>
    <xf numFmtId="3" fontId="12" fillId="0" borderId="1" xfId="8" applyNumberFormat="1" applyFont="1" applyBorder="1" applyProtection="1">
      <protection locked="0"/>
    </xf>
    <xf numFmtId="0" fontId="0" fillId="4" borderId="0" xfId="0" applyFill="1"/>
    <xf numFmtId="0" fontId="21" fillId="0" borderId="1" xfId="0" applyFont="1" applyBorder="1" applyAlignment="1">
      <alignment wrapText="1"/>
    </xf>
    <xf numFmtId="165" fontId="17" fillId="0" borderId="0" xfId="0" applyNumberFormat="1" applyFont="1"/>
    <xf numFmtId="3" fontId="17" fillId="0" borderId="1" xfId="0" applyNumberFormat="1" applyFont="1" applyBorder="1" applyAlignment="1">
      <alignment horizontal="right" vertical="center"/>
    </xf>
    <xf numFmtId="3" fontId="17" fillId="0" borderId="3" xfId="8" applyNumberFormat="1" applyFont="1" applyBorder="1" applyProtection="1">
      <protection locked="0"/>
    </xf>
    <xf numFmtId="3" fontId="12" fillId="0" borderId="1" xfId="0" applyNumberFormat="1" applyFont="1" applyBorder="1" applyAlignment="1">
      <alignment horizontal="right"/>
    </xf>
    <xf numFmtId="0" fontId="14" fillId="0" borderId="7" xfId="0" applyFont="1" applyBorder="1" applyAlignment="1">
      <alignment vertical="top" wrapText="1"/>
    </xf>
    <xf numFmtId="3" fontId="14" fillId="0" borderId="8" xfId="0" applyNumberFormat="1" applyFont="1" applyBorder="1" applyAlignment="1">
      <alignment vertical="top" wrapText="1"/>
    </xf>
    <xf numFmtId="0" fontId="13" fillId="0" borderId="0" xfId="0" applyFont="1" applyAlignment="1">
      <alignment horizontal="justify" vertical="top" wrapText="1"/>
    </xf>
    <xf numFmtId="0" fontId="13" fillId="0" borderId="9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left" vertical="top" wrapText="1" indent="3"/>
    </xf>
    <xf numFmtId="0" fontId="20" fillId="0" borderId="1" xfId="0" applyFont="1" applyBorder="1" applyAlignment="1">
      <alignment horizontal="left" wrapText="1"/>
    </xf>
    <xf numFmtId="0" fontId="30" fillId="0" borderId="0" xfId="2" quotePrefix="1" applyFont="1" applyProtection="1">
      <alignment vertical="top"/>
    </xf>
    <xf numFmtId="0" fontId="12" fillId="0" borderId="0" xfId="7" applyFont="1"/>
    <xf numFmtId="0" fontId="43" fillId="0" borderId="0" xfId="2" quotePrefix="1" applyFont="1" applyProtection="1">
      <alignment vertical="top"/>
    </xf>
    <xf numFmtId="0" fontId="37" fillId="0" borderId="0" xfId="7" applyFont="1"/>
    <xf numFmtId="0" fontId="37" fillId="2" borderId="0" xfId="7" applyFont="1" applyFill="1" applyAlignment="1">
      <alignment vertical="center"/>
    </xf>
    <xf numFmtId="0" fontId="17" fillId="0" borderId="0" xfId="7" applyFont="1" applyAlignment="1">
      <alignment vertical="center"/>
    </xf>
    <xf numFmtId="49" fontId="37" fillId="0" borderId="1" xfId="7" applyNumberFormat="1" applyFont="1" applyBorder="1" applyAlignment="1">
      <alignment vertical="center" wrapText="1"/>
    </xf>
    <xf numFmtId="0" fontId="37" fillId="0" borderId="0" xfId="7" applyFont="1" applyAlignment="1">
      <alignment vertical="center"/>
    </xf>
    <xf numFmtId="49" fontId="17" fillId="0" borderId="1" xfId="7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justify" vertical="center" wrapText="1"/>
    </xf>
    <xf numFmtId="49" fontId="37" fillId="0" borderId="1" xfId="7" applyNumberFormat="1" applyFont="1" applyBorder="1" applyAlignment="1">
      <alignment horizontal="left" vertical="center" wrapText="1"/>
    </xf>
    <xf numFmtId="0" fontId="37" fillId="0" borderId="0" xfId="7" applyFont="1" applyAlignment="1">
      <alignment wrapText="1"/>
    </xf>
    <xf numFmtId="4" fontId="37" fillId="0" borderId="0" xfId="7" applyNumberFormat="1" applyFont="1" applyAlignment="1" applyProtection="1">
      <alignment wrapText="1"/>
      <protection locked="0"/>
    </xf>
    <xf numFmtId="0" fontId="37" fillId="0" borderId="0" xfId="0" applyFont="1" applyAlignment="1">
      <alignment horizontal="left"/>
    </xf>
    <xf numFmtId="0" fontId="17" fillId="4" borderId="1" xfId="7" applyFont="1" applyFill="1" applyBorder="1" applyAlignment="1">
      <alignment horizontal="center" vertical="center" wrapText="1"/>
    </xf>
    <xf numFmtId="49" fontId="17" fillId="0" borderId="1" xfId="7" applyNumberFormat="1" applyFont="1" applyBorder="1" applyAlignment="1">
      <alignment vertical="center" wrapText="1"/>
    </xf>
    <xf numFmtId="49" fontId="12" fillId="0" borderId="1" xfId="7" applyNumberFormat="1" applyFont="1" applyBorder="1" applyAlignment="1">
      <alignment horizontal="center" vertical="center" wrapText="1"/>
    </xf>
    <xf numFmtId="49" fontId="21" fillId="0" borderId="1" xfId="7" applyNumberFormat="1" applyFont="1" applyBorder="1" applyAlignment="1">
      <alignment horizontal="left" vertical="center" wrapText="1"/>
    </xf>
    <xf numFmtId="49" fontId="21" fillId="0" borderId="1" xfId="7" applyNumberFormat="1" applyFont="1" applyBorder="1" applyAlignment="1">
      <alignment vertical="center" wrapText="1"/>
    </xf>
    <xf numFmtId="0" fontId="12" fillId="0" borderId="0" xfId="7" applyFont="1" applyAlignment="1">
      <alignment vertical="center"/>
    </xf>
    <xf numFmtId="49" fontId="17" fillId="4" borderId="1" xfId="7" applyNumberFormat="1" applyFont="1" applyFill="1" applyBorder="1" applyAlignment="1">
      <alignment horizontal="center" vertical="center" wrapText="1"/>
    </xf>
    <xf numFmtId="49" fontId="17" fillId="4" borderId="4" xfId="7" applyNumberFormat="1" applyFont="1" applyFill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justify" vertical="center"/>
    </xf>
    <xf numFmtId="0" fontId="39" fillId="0" borderId="0" xfId="0" applyFont="1"/>
    <xf numFmtId="0" fontId="37" fillId="0" borderId="1" xfId="0" applyFont="1" applyBorder="1" applyAlignment="1">
      <alignment horizontal="left" wrapText="1"/>
    </xf>
    <xf numFmtId="3" fontId="39" fillId="0" borderId="1" xfId="0" applyNumberFormat="1" applyFont="1" applyBorder="1"/>
    <xf numFmtId="0" fontId="37" fillId="0" borderId="0" xfId="0" applyFont="1" applyAlignment="1">
      <alignment wrapText="1"/>
    </xf>
    <xf numFmtId="0" fontId="41" fillId="0" borderId="0" xfId="0" applyFont="1" applyAlignment="1">
      <alignment wrapText="1"/>
    </xf>
    <xf numFmtId="3" fontId="12" fillId="0" borderId="1" xfId="0" applyNumberFormat="1" applyFont="1" applyBorder="1"/>
    <xf numFmtId="0" fontId="21" fillId="0" borderId="0" xfId="0" applyFont="1" applyAlignment="1">
      <alignment horizontal="left" wrapText="1"/>
    </xf>
    <xf numFmtId="3" fontId="21" fillId="0" borderId="1" xfId="0" applyNumberFormat="1" applyFont="1" applyBorder="1"/>
    <xf numFmtId="49" fontId="12" fillId="0" borderId="3" xfId="0" applyNumberFormat="1" applyFont="1" applyBorder="1" applyAlignment="1">
      <alignment wrapText="1"/>
    </xf>
    <xf numFmtId="49" fontId="21" fillId="0" borderId="1" xfId="0" applyNumberFormat="1" applyFont="1" applyBorder="1" applyAlignment="1">
      <alignment wrapText="1"/>
    </xf>
    <xf numFmtId="0" fontId="29" fillId="0" borderId="0" xfId="0" applyFont="1"/>
    <xf numFmtId="0" fontId="12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vertical="center" wrapText="1"/>
    </xf>
    <xf numFmtId="3" fontId="37" fillId="0" borderId="1" xfId="8" applyNumberFormat="1" applyFont="1" applyBorder="1" applyProtection="1">
      <protection locked="0"/>
    </xf>
    <xf numFmtId="0" fontId="42" fillId="0" borderId="0" xfId="0" applyFont="1"/>
    <xf numFmtId="3" fontId="44" fillId="0" borderId="1" xfId="0" applyNumberFormat="1" applyFont="1" applyBorder="1"/>
    <xf numFmtId="0" fontId="42" fillId="0" borderId="0" xfId="0" applyFont="1" applyAlignment="1">
      <alignment vertical="center"/>
    </xf>
    <xf numFmtId="3" fontId="42" fillId="0" borderId="1" xfId="0" applyNumberFormat="1" applyFont="1" applyBorder="1"/>
    <xf numFmtId="0" fontId="44" fillId="4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wrapText="1"/>
    </xf>
    <xf numFmtId="3" fontId="37" fillId="0" borderId="0" xfId="0" applyNumberFormat="1" applyFont="1"/>
    <xf numFmtId="3" fontId="12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3" fontId="21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49" fontId="14" fillId="0" borderId="1" xfId="0" applyNumberFormat="1" applyFont="1" applyBorder="1" applyAlignment="1">
      <alignment vertical="top" wrapText="1"/>
    </xf>
    <xf numFmtId="0" fontId="12" fillId="0" borderId="0" xfId="0" applyFont="1" applyAlignment="1">
      <alignment horizontal="justify" vertical="center"/>
    </xf>
    <xf numFmtId="3" fontId="12" fillId="0" borderId="3" xfId="8" applyNumberFormat="1" applyFont="1" applyBorder="1" applyProtection="1">
      <protection locked="0"/>
    </xf>
    <xf numFmtId="3" fontId="37" fillId="0" borderId="1" xfId="0" applyNumberFormat="1" applyFont="1" applyBorder="1" applyAlignment="1">
      <alignment horizontal="right" wrapText="1"/>
    </xf>
    <xf numFmtId="3" fontId="16" fillId="0" borderId="1" xfId="0" applyNumberFormat="1" applyFont="1" applyBorder="1" applyAlignment="1">
      <alignment horizontal="right" wrapText="1"/>
    </xf>
    <xf numFmtId="3" fontId="21" fillId="0" borderId="1" xfId="8" applyNumberFormat="1" applyFont="1" applyBorder="1" applyProtection="1">
      <protection locked="0"/>
    </xf>
    <xf numFmtId="0" fontId="37" fillId="4" borderId="1" xfId="0" applyFont="1" applyFill="1" applyBorder="1" applyAlignment="1">
      <alignment horizontal="center"/>
    </xf>
    <xf numFmtId="3" fontId="17" fillId="0" borderId="0" xfId="0" applyNumberFormat="1" applyFont="1" applyAlignment="1">
      <alignment horizontal="right" wrapText="1"/>
    </xf>
    <xf numFmtId="3" fontId="13" fillId="0" borderId="0" xfId="0" applyNumberFormat="1" applyFont="1" applyAlignment="1">
      <alignment vertical="center" wrapText="1"/>
    </xf>
    <xf numFmtId="3" fontId="17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horizontal="left"/>
    </xf>
    <xf numFmtId="3" fontId="12" fillId="0" borderId="1" xfId="0" applyNumberFormat="1" applyFont="1" applyBorder="1" applyAlignment="1">
      <alignment horizontal="right" vertical="center"/>
    </xf>
    <xf numFmtId="3" fontId="16" fillId="0" borderId="0" xfId="0" applyNumberFormat="1" applyFont="1"/>
    <xf numFmtId="3" fontId="17" fillId="0" borderId="1" xfId="8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justify" vertical="center"/>
    </xf>
    <xf numFmtId="3" fontId="12" fillId="0" borderId="1" xfId="0" quotePrefix="1" applyNumberFormat="1" applyFont="1" applyBorder="1"/>
    <xf numFmtId="0" fontId="46" fillId="0" borderId="0" xfId="2" quotePrefix="1" applyFont="1" applyProtection="1">
      <alignment vertical="top"/>
    </xf>
    <xf numFmtId="0" fontId="45" fillId="0" borderId="0" xfId="0" applyFont="1"/>
    <xf numFmtId="0" fontId="44" fillId="0" borderId="0" xfId="0" applyFont="1"/>
    <xf numFmtId="0" fontId="42" fillId="0" borderId="1" xfId="0" applyFont="1" applyBorder="1" applyAlignment="1">
      <alignment horizontal="left" vertical="center"/>
    </xf>
    <xf numFmtId="3" fontId="42" fillId="0" borderId="1" xfId="0" applyNumberFormat="1" applyFont="1" applyBorder="1" applyAlignment="1">
      <alignment wrapText="1"/>
    </xf>
    <xf numFmtId="0" fontId="42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3" fontId="44" fillId="0" borderId="0" xfId="0" applyNumberFormat="1" applyFont="1" applyAlignment="1">
      <alignment horizontal="right" vertical="center" wrapText="1"/>
    </xf>
    <xf numFmtId="0" fontId="44" fillId="0" borderId="0" xfId="0" applyFont="1" applyAlignment="1">
      <alignment horizontal="right" wrapText="1"/>
    </xf>
    <xf numFmtId="164" fontId="44" fillId="4" borderId="1" xfId="8" applyNumberFormat="1" applyFont="1" applyFill="1" applyBorder="1" applyAlignment="1" applyProtection="1">
      <alignment horizontal="center" vertical="center" wrapText="1"/>
      <protection locked="0"/>
    </xf>
    <xf numFmtId="164" fontId="44" fillId="4" borderId="10" xfId="8" applyNumberFormat="1" applyFont="1" applyFill="1" applyBorder="1" applyAlignment="1" applyProtection="1">
      <alignment horizontal="center" vertical="center" wrapText="1"/>
      <protection locked="0"/>
    </xf>
    <xf numFmtId="164" fontId="44" fillId="4" borderId="4" xfId="8" applyNumberFormat="1" applyFont="1" applyFill="1" applyBorder="1" applyAlignment="1" applyProtection="1">
      <alignment horizontal="center" vertical="center" wrapText="1"/>
      <protection locked="0"/>
    </xf>
    <xf numFmtId="3" fontId="44" fillId="0" borderId="1" xfId="0" applyNumberFormat="1" applyFont="1" applyBorder="1" applyAlignment="1">
      <alignment vertical="center"/>
    </xf>
    <xf numFmtId="0" fontId="45" fillId="0" borderId="1" xfId="0" applyFont="1" applyBorder="1" applyAlignment="1">
      <alignment wrapText="1"/>
    </xf>
    <xf numFmtId="3" fontId="45" fillId="0" borderId="1" xfId="0" applyNumberFormat="1" applyFont="1" applyBorder="1"/>
    <xf numFmtId="0" fontId="47" fillId="0" borderId="0" xfId="0" applyFont="1"/>
    <xf numFmtId="0" fontId="42" fillId="0" borderId="1" xfId="0" applyFont="1" applyBorder="1" applyAlignment="1">
      <alignment wrapText="1"/>
    </xf>
    <xf numFmtId="3" fontId="44" fillId="0" borderId="5" xfId="0" applyNumberFormat="1" applyFont="1" applyBorder="1" applyAlignment="1">
      <alignment vertical="center"/>
    </xf>
    <xf numFmtId="3" fontId="44" fillId="0" borderId="5" xfId="0" applyNumberFormat="1" applyFont="1" applyBorder="1"/>
    <xf numFmtId="0" fontId="48" fillId="0" borderId="0" xfId="0" applyFont="1" applyAlignment="1">
      <alignment vertical="center" wrapText="1"/>
    </xf>
    <xf numFmtId="0" fontId="48" fillId="0" borderId="0" xfId="0" applyFont="1" applyAlignment="1">
      <alignment vertical="center"/>
    </xf>
    <xf numFmtId="0" fontId="48" fillId="0" borderId="0" xfId="0" applyFont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48" fillId="0" borderId="0" xfId="0" applyFont="1" applyAlignment="1" applyProtection="1">
      <alignment horizontal="center"/>
      <protection locked="0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wrapText="1"/>
    </xf>
    <xf numFmtId="0" fontId="48" fillId="0" borderId="0" xfId="0" applyFont="1" applyAlignment="1" applyProtection="1">
      <alignment horizontal="center" wrapText="1"/>
      <protection locked="0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29" fillId="0" borderId="0" xfId="7" applyFont="1" applyAlignment="1">
      <alignment vertical="center"/>
    </xf>
    <xf numFmtId="49" fontId="21" fillId="0" borderId="1" xfId="7" applyNumberFormat="1" applyFont="1" applyBorder="1" applyAlignment="1">
      <alignment horizontal="center" vertical="center" wrapText="1"/>
    </xf>
    <xf numFmtId="3" fontId="17" fillId="0" borderId="1" xfId="7" applyNumberFormat="1" applyFont="1" applyBorder="1" applyAlignment="1">
      <alignment horizontal="right" vertical="center" wrapText="1"/>
    </xf>
    <xf numFmtId="3" fontId="37" fillId="0" borderId="1" xfId="7" applyNumberFormat="1" applyFont="1" applyBorder="1" applyAlignment="1" applyProtection="1">
      <alignment horizontal="right" vertical="center" wrapText="1"/>
      <protection locked="0"/>
    </xf>
    <xf numFmtId="3" fontId="17" fillId="0" borderId="1" xfId="7" applyNumberFormat="1" applyFont="1" applyBorder="1" applyAlignment="1" applyProtection="1">
      <alignment horizontal="right" vertical="center" wrapText="1"/>
      <protection locked="0"/>
    </xf>
    <xf numFmtId="3" fontId="37" fillId="0" borderId="1" xfId="7" applyNumberFormat="1" applyFont="1" applyBorder="1" applyAlignment="1">
      <alignment horizontal="right" vertical="center" wrapText="1"/>
    </xf>
    <xf numFmtId="3" fontId="21" fillId="0" borderId="1" xfId="7" applyNumberFormat="1" applyFont="1" applyBorder="1" applyAlignment="1">
      <alignment horizontal="right" vertical="center" wrapText="1"/>
    </xf>
    <xf numFmtId="3" fontId="12" fillId="0" borderId="1" xfId="7" applyNumberFormat="1" applyFont="1" applyBorder="1" applyAlignment="1">
      <alignment horizontal="right" vertical="center" wrapText="1"/>
    </xf>
    <xf numFmtId="3" fontId="17" fillId="0" borderId="1" xfId="0" applyNumberFormat="1" applyFont="1" applyBorder="1" applyAlignment="1">
      <alignment horizontal="left" vertical="center" wrapText="1"/>
    </xf>
    <xf numFmtId="3" fontId="37" fillId="0" borderId="1" xfId="0" applyNumberFormat="1" applyFont="1" applyBorder="1" applyAlignment="1">
      <alignment horizontal="left" vertical="center"/>
    </xf>
    <xf numFmtId="3" fontId="37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left" vertical="center"/>
    </xf>
    <xf numFmtId="3" fontId="17" fillId="0" borderId="1" xfId="7" applyNumberFormat="1" applyFont="1" applyBorder="1" applyAlignment="1">
      <alignment horizontal="right" vertical="center"/>
    </xf>
    <xf numFmtId="3" fontId="12" fillId="0" borderId="1" xfId="7" applyNumberFormat="1" applyFont="1" applyBorder="1" applyAlignment="1">
      <alignment horizontal="right" vertical="center"/>
    </xf>
    <xf numFmtId="3" fontId="37" fillId="0" borderId="1" xfId="7" applyNumberFormat="1" applyFont="1" applyBorder="1" applyAlignment="1" applyProtection="1">
      <alignment horizontal="right" vertical="center"/>
      <protection locked="0"/>
    </xf>
    <xf numFmtId="3" fontId="17" fillId="0" borderId="1" xfId="7" applyNumberFormat="1" applyFont="1" applyBorder="1" applyAlignment="1">
      <alignment horizontal="left" vertical="center" wrapText="1" indent="1"/>
    </xf>
    <xf numFmtId="3" fontId="37" fillId="0" borderId="1" xfId="7" applyNumberFormat="1" applyFont="1" applyBorder="1" applyAlignment="1">
      <alignment horizontal="left" vertical="center" wrapText="1" indent="1"/>
    </xf>
    <xf numFmtId="3" fontId="17" fillId="0" borderId="1" xfId="7" applyNumberFormat="1" applyFont="1" applyBorder="1" applyAlignment="1">
      <alignment vertical="center" wrapText="1"/>
    </xf>
    <xf numFmtId="3" fontId="17" fillId="0" borderId="1" xfId="7" applyNumberFormat="1" applyFont="1" applyBorder="1" applyAlignment="1">
      <alignment horizontal="left" vertical="center" indent="1"/>
    </xf>
    <xf numFmtId="3" fontId="17" fillId="3" borderId="1" xfId="7" applyNumberFormat="1" applyFont="1" applyFill="1" applyBorder="1" applyAlignment="1">
      <alignment horizontal="right" vertical="center"/>
    </xf>
    <xf numFmtId="3" fontId="17" fillId="0" borderId="1" xfId="7" applyNumberFormat="1" applyFont="1" applyBorder="1" applyAlignment="1" applyProtection="1">
      <alignment vertical="center" wrapText="1"/>
      <protection locked="0"/>
    </xf>
    <xf numFmtId="3" fontId="17" fillId="0" borderId="1" xfId="7" applyNumberFormat="1" applyFont="1" applyBorder="1" applyAlignment="1">
      <alignment horizontal="left" vertical="center" wrapText="1"/>
    </xf>
    <xf numFmtId="3" fontId="37" fillId="0" borderId="1" xfId="7" applyNumberFormat="1" applyFont="1" applyBorder="1" applyAlignment="1">
      <alignment horizontal="left" vertical="center" wrapText="1"/>
    </xf>
    <xf numFmtId="3" fontId="37" fillId="5" borderId="0" xfId="0" applyNumberFormat="1" applyFont="1" applyFill="1"/>
    <xf numFmtId="3" fontId="14" fillId="5" borderId="0" xfId="0" applyNumberFormat="1" applyFont="1" applyFill="1" applyAlignment="1">
      <alignment horizontal="right" vertical="top" wrapText="1"/>
    </xf>
    <xf numFmtId="3" fontId="14" fillId="5" borderId="0" xfId="0" applyNumberFormat="1" applyFont="1" applyFill="1" applyAlignment="1">
      <alignment vertical="top" wrapText="1"/>
    </xf>
    <xf numFmtId="0" fontId="12" fillId="0" borderId="0" xfId="0" applyFont="1" applyAlignment="1">
      <alignment horizontal="justify"/>
    </xf>
    <xf numFmtId="3" fontId="16" fillId="5" borderId="0" xfId="0" applyNumberFormat="1" applyFont="1" applyFill="1"/>
    <xf numFmtId="3" fontId="42" fillId="5" borderId="0" xfId="0" applyNumberFormat="1" applyFont="1" applyFill="1"/>
    <xf numFmtId="3" fontId="44" fillId="0" borderId="11" xfId="0" applyNumberFormat="1" applyFont="1" applyBorder="1" applyAlignment="1">
      <alignment vertical="center"/>
    </xf>
    <xf numFmtId="3" fontId="42" fillId="0" borderId="0" xfId="0" applyNumberFormat="1" applyFont="1"/>
    <xf numFmtId="3" fontId="17" fillId="0" borderId="11" xfId="0" applyNumberFormat="1" applyFont="1" applyBorder="1"/>
    <xf numFmtId="3" fontId="12" fillId="5" borderId="0" xfId="0" applyNumberFormat="1" applyFont="1" applyFill="1"/>
    <xf numFmtId="3" fontId="17" fillId="0" borderId="0" xfId="0" applyNumberFormat="1" applyFont="1" applyAlignment="1">
      <alignment vertical="center" wrapText="1"/>
    </xf>
    <xf numFmtId="3" fontId="37" fillId="0" borderId="1" xfId="8" applyNumberFormat="1" applyFont="1" applyBorder="1" applyAlignment="1" applyProtection="1">
      <alignment wrapText="1"/>
      <protection locked="0"/>
    </xf>
    <xf numFmtId="3" fontId="17" fillId="0" borderId="0" xfId="1" applyNumberFormat="1" applyFont="1" applyProtection="1">
      <protection locked="0"/>
    </xf>
    <xf numFmtId="0" fontId="40" fillId="0" borderId="0" xfId="0" applyFont="1" applyAlignment="1">
      <alignment horizontal="right" vertical="center"/>
    </xf>
    <xf numFmtId="3" fontId="12" fillId="5" borderId="0" xfId="0" applyNumberFormat="1" applyFont="1" applyFill="1" applyAlignment="1">
      <alignment horizontal="right" vertical="center" wrapText="1"/>
    </xf>
    <xf numFmtId="3" fontId="12" fillId="5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/>
    </xf>
    <xf numFmtId="0" fontId="12" fillId="0" borderId="1" xfId="0" applyFont="1" applyBorder="1"/>
    <xf numFmtId="49" fontId="12" fillId="0" borderId="1" xfId="0" applyNumberFormat="1" applyFont="1" applyBorder="1" applyAlignment="1">
      <alignment wrapText="1"/>
    </xf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/>
    <xf numFmtId="3" fontId="27" fillId="0" borderId="0" xfId="7" applyNumberFormat="1" applyFont="1"/>
    <xf numFmtId="3" fontId="32" fillId="0" borderId="8" xfId="7" applyNumberFormat="1" applyFont="1" applyBorder="1" applyAlignment="1">
      <alignment vertical="center" wrapText="1"/>
    </xf>
    <xf numFmtId="3" fontId="17" fillId="4" borderId="1" xfId="7" applyNumberFormat="1" applyFont="1" applyFill="1" applyBorder="1" applyAlignment="1">
      <alignment horizontal="center" vertical="center" wrapText="1"/>
    </xf>
    <xf numFmtId="3" fontId="27" fillId="0" borderId="0" xfId="7" applyNumberFormat="1" applyFont="1" applyAlignment="1" applyProtection="1">
      <alignment wrapText="1"/>
      <protection locked="0"/>
    </xf>
    <xf numFmtId="3" fontId="35" fillId="0" borderId="0" xfId="7" applyNumberFormat="1" applyFont="1" applyAlignment="1" applyProtection="1">
      <alignment wrapText="1"/>
      <protection locked="0"/>
    </xf>
    <xf numFmtId="3" fontId="36" fillId="0" borderId="0" xfId="7" applyNumberFormat="1" applyFont="1" applyAlignment="1" applyProtection="1">
      <alignment wrapText="1"/>
      <protection locked="0"/>
    </xf>
    <xf numFmtId="3" fontId="0" fillId="0" borderId="0" xfId="0" applyNumberFormat="1" applyAlignment="1">
      <alignment vertical="top"/>
    </xf>
    <xf numFmtId="3" fontId="13" fillId="4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justify" vertical="top" wrapText="1"/>
    </xf>
    <xf numFmtId="3" fontId="0" fillId="0" borderId="0" xfId="0" applyNumberFormat="1"/>
    <xf numFmtId="3" fontId="14" fillId="0" borderId="0" xfId="0" applyNumberFormat="1" applyFont="1" applyAlignment="1">
      <alignment vertical="top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wrapText="1" indent="3"/>
    </xf>
    <xf numFmtId="0" fontId="17" fillId="0" borderId="3" xfId="0" applyFont="1" applyBorder="1" applyAlignment="1">
      <alignment vertical="center" wrapText="1"/>
    </xf>
    <xf numFmtId="3" fontId="17" fillId="0" borderId="3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left"/>
    </xf>
    <xf numFmtId="49" fontId="17" fillId="0" borderId="1" xfId="0" applyNumberFormat="1" applyFont="1" applyBorder="1" applyAlignment="1">
      <alignment horizontal="right"/>
    </xf>
    <xf numFmtId="14" fontId="12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right"/>
    </xf>
    <xf numFmtId="49" fontId="42" fillId="0" borderId="1" xfId="0" applyNumberFormat="1" applyFont="1" applyBorder="1" applyAlignment="1">
      <alignment wrapText="1"/>
    </xf>
    <xf numFmtId="0" fontId="21" fillId="0" borderId="1" xfId="0" applyFont="1" applyBorder="1" applyAlignment="1">
      <alignment horizontal="justify" wrapText="1"/>
    </xf>
    <xf numFmtId="0" fontId="29" fillId="0" borderId="0" xfId="0" applyFont="1" applyAlignment="1">
      <alignment wrapText="1"/>
    </xf>
    <xf numFmtId="0" fontId="21" fillId="0" borderId="0" xfId="7" applyFont="1" applyAlignment="1">
      <alignment vertical="center"/>
    </xf>
    <xf numFmtId="0" fontId="37" fillId="0" borderId="1" xfId="7" applyFont="1" applyBorder="1" applyAlignment="1">
      <alignment wrapText="1"/>
    </xf>
    <xf numFmtId="0" fontId="21" fillId="0" borderId="0" xfId="7" applyFont="1"/>
    <xf numFmtId="0" fontId="17" fillId="0" borderId="0" xfId="7" applyFont="1"/>
    <xf numFmtId="0" fontId="54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0" fontId="17" fillId="4" borderId="1" xfId="0" applyFont="1" applyFill="1" applyBorder="1" applyAlignment="1">
      <alignment horizontal="left" vertical="center"/>
    </xf>
    <xf numFmtId="0" fontId="12" fillId="3" borderId="0" xfId="0" applyFont="1" applyFill="1"/>
    <xf numFmtId="9" fontId="17" fillId="0" borderId="1" xfId="9" applyFont="1" applyBorder="1" applyAlignment="1">
      <alignment horizontal="right" wrapText="1"/>
    </xf>
    <xf numFmtId="3" fontId="12" fillId="0" borderId="0" xfId="0" applyNumberFormat="1" applyFont="1" applyAlignment="1">
      <alignment horizontal="right" vertical="center" wrapText="1"/>
    </xf>
    <xf numFmtId="3" fontId="17" fillId="0" borderId="5" xfId="0" applyNumberFormat="1" applyFont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vertical="center" wrapText="1"/>
    </xf>
    <xf numFmtId="49" fontId="40" fillId="0" borderId="1" xfId="0" applyNumberFormat="1" applyFont="1" applyBorder="1" applyAlignment="1">
      <alignment horizontal="left" vertical="center" wrapText="1"/>
    </xf>
    <xf numFmtId="3" fontId="12" fillId="0" borderId="2" xfId="0" applyNumberFormat="1" applyFont="1" applyBorder="1" applyAlignment="1">
      <alignment vertical="center"/>
    </xf>
    <xf numFmtId="3" fontId="17" fillId="0" borderId="0" xfId="8" applyNumberFormat="1" applyFont="1" applyAlignment="1" applyProtection="1">
      <alignment vertical="center"/>
      <protection locked="0"/>
    </xf>
    <xf numFmtId="3" fontId="17" fillId="0" borderId="2" xfId="0" applyNumberFormat="1" applyFont="1" applyBorder="1"/>
    <xf numFmtId="49" fontId="12" fillId="0" borderId="1" xfId="0" applyNumberFormat="1" applyFont="1" applyBorder="1" applyAlignment="1">
      <alignment horizontal="left" indent="1"/>
    </xf>
    <xf numFmtId="49" fontId="12" fillId="0" borderId="1" xfId="0" applyNumberFormat="1" applyFont="1" applyBorder="1" applyAlignment="1">
      <alignment vertical="top" wrapText="1"/>
    </xf>
    <xf numFmtId="3" fontId="12" fillId="0" borderId="0" xfId="0" applyNumberFormat="1" applyFont="1"/>
    <xf numFmtId="0" fontId="12" fillId="4" borderId="1" xfId="0" applyFont="1" applyFill="1" applyBorder="1" applyAlignment="1">
      <alignment horizontal="center"/>
    </xf>
    <xf numFmtId="49" fontId="12" fillId="0" borderId="1" xfId="7" applyNumberFormat="1" applyFont="1" applyBorder="1" applyAlignment="1">
      <alignment horizontal="left" vertical="center" wrapText="1"/>
    </xf>
    <xf numFmtId="49" fontId="27" fillId="0" borderId="0" xfId="7" applyNumberFormat="1" applyFont="1"/>
    <xf numFmtId="49" fontId="27" fillId="0" borderId="0" xfId="7" applyNumberFormat="1" applyFont="1" applyAlignment="1">
      <alignment wrapText="1"/>
    </xf>
    <xf numFmtId="49" fontId="27" fillId="0" borderId="0" xfId="0" applyNumberFormat="1" applyFont="1" applyAlignment="1">
      <alignment horizontal="left"/>
    </xf>
    <xf numFmtId="49" fontId="12" fillId="0" borderId="1" xfId="7" applyNumberFormat="1" applyFont="1" applyBorder="1" applyAlignment="1">
      <alignment vertical="center" wrapText="1"/>
    </xf>
    <xf numFmtId="3" fontId="12" fillId="3" borderId="2" xfId="0" applyNumberFormat="1" applyFont="1" applyFill="1" applyBorder="1" applyAlignment="1">
      <alignment vertical="center"/>
    </xf>
    <xf numFmtId="49" fontId="14" fillId="3" borderId="1" xfId="0" quotePrefix="1" applyNumberFormat="1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49" fontId="14" fillId="3" borderId="1" xfId="0" applyNumberFormat="1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3" fontId="12" fillId="3" borderId="0" xfId="0" applyNumberFormat="1" applyFont="1" applyFill="1"/>
    <xf numFmtId="0" fontId="12" fillId="3" borderId="1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0" fontId="17" fillId="3" borderId="1" xfId="0" applyFont="1" applyFill="1" applyBorder="1" applyAlignment="1">
      <alignment vertical="top" wrapText="1"/>
    </xf>
    <xf numFmtId="3" fontId="17" fillId="3" borderId="1" xfId="0" applyNumberFormat="1" applyFont="1" applyFill="1" applyBorder="1"/>
    <xf numFmtId="0" fontId="48" fillId="7" borderId="12" xfId="0" applyFont="1" applyFill="1" applyBorder="1" applyAlignment="1">
      <alignment horizontal="center" vertical="center" wrapText="1"/>
    </xf>
    <xf numFmtId="0" fontId="48" fillId="8" borderId="12" xfId="0" applyFont="1" applyFill="1" applyBorder="1" applyAlignment="1">
      <alignment horizontal="center" vertical="center"/>
    </xf>
    <xf numFmtId="0" fontId="48" fillId="7" borderId="0" xfId="0" applyFont="1" applyFill="1" applyAlignment="1" applyProtection="1">
      <alignment horizontal="center"/>
      <protection locked="0"/>
    </xf>
    <xf numFmtId="0" fontId="49" fillId="8" borderId="0" xfId="0" applyFont="1" applyFill="1" applyAlignment="1">
      <alignment horizontal="center"/>
    </xf>
    <xf numFmtId="0" fontId="51" fillId="7" borderId="0" xfId="0" applyFont="1" applyFill="1" applyAlignment="1" applyProtection="1">
      <alignment horizontal="center"/>
      <protection locked="0"/>
    </xf>
    <xf numFmtId="0" fontId="49" fillId="7" borderId="0" xfId="0" applyFont="1" applyFill="1" applyAlignment="1">
      <alignment horizontal="center"/>
    </xf>
    <xf numFmtId="0" fontId="51" fillId="8" borderId="0" xfId="0" applyFont="1" applyFill="1" applyAlignment="1" applyProtection="1">
      <alignment horizontal="center"/>
      <protection locked="0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wrapText="1"/>
    </xf>
    <xf numFmtId="0" fontId="54" fillId="0" borderId="0" xfId="0" applyFont="1"/>
    <xf numFmtId="0" fontId="37" fillId="0" borderId="1" xfId="0" applyFont="1" applyBorder="1" applyAlignment="1">
      <alignment horizontal="left" vertical="center" wrapText="1"/>
    </xf>
    <xf numFmtId="0" fontId="12" fillId="0" borderId="0" xfId="2" quotePrefix="1" applyFont="1" applyProtection="1">
      <alignment vertical="top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0" xfId="0" quotePrefix="1" applyFont="1"/>
    <xf numFmtId="49" fontId="21" fillId="0" borderId="6" xfId="7" applyNumberFormat="1" applyFont="1" applyBorder="1" applyAlignment="1">
      <alignment vertical="center" wrapText="1"/>
    </xf>
    <xf numFmtId="0" fontId="20" fillId="0" borderId="0" xfId="7" applyFont="1" applyAlignment="1">
      <alignment vertical="center"/>
    </xf>
    <xf numFmtId="3" fontId="12" fillId="0" borderId="1" xfId="7" applyNumberFormat="1" applyFont="1" applyBorder="1" applyAlignment="1" applyProtection="1">
      <alignment horizontal="right" vertical="center" wrapText="1"/>
      <protection locked="0"/>
    </xf>
    <xf numFmtId="3" fontId="21" fillId="0" borderId="1" xfId="7" applyNumberFormat="1" applyFont="1" applyBorder="1" applyAlignment="1" applyProtection="1">
      <alignment wrapText="1"/>
      <protection locked="0"/>
    </xf>
    <xf numFmtId="3" fontId="37" fillId="0" borderId="1" xfId="7" applyNumberFormat="1" applyFont="1" applyBorder="1" applyAlignment="1" applyProtection="1">
      <alignment wrapText="1"/>
      <protection locked="0"/>
    </xf>
    <xf numFmtId="3" fontId="17" fillId="0" borderId="1" xfId="7" applyNumberFormat="1" applyFont="1" applyBorder="1" applyAlignment="1" applyProtection="1">
      <alignment wrapText="1"/>
      <protection locked="0"/>
    </xf>
    <xf numFmtId="3" fontId="12" fillId="0" borderId="1" xfId="0" applyNumberFormat="1" applyFont="1" applyBorder="1" applyAlignment="1">
      <alignment horizontal="left" vertical="center"/>
    </xf>
    <xf numFmtId="3" fontId="17" fillId="0" borderId="0" xfId="0" applyNumberFormat="1" applyFont="1" applyAlignment="1">
      <alignment vertical="center"/>
    </xf>
    <xf numFmtId="0" fontId="17" fillId="0" borderId="5" xfId="0" applyFont="1" applyBorder="1" applyAlignment="1">
      <alignment vertical="center" wrapText="1"/>
    </xf>
    <xf numFmtId="3" fontId="12" fillId="0" borderId="1" xfId="7" applyNumberFormat="1" applyFont="1" applyBorder="1" applyAlignment="1">
      <alignment horizontal="left" vertical="center" wrapText="1" indent="1"/>
    </xf>
    <xf numFmtId="3" fontId="12" fillId="0" borderId="1" xfId="7" applyNumberFormat="1" applyFont="1" applyBorder="1" applyAlignment="1" applyProtection="1">
      <alignment vertical="center" wrapText="1"/>
      <protection locked="0"/>
    </xf>
    <xf numFmtId="3" fontId="12" fillId="0" borderId="1" xfId="7" applyNumberFormat="1" applyFont="1" applyBorder="1" applyAlignment="1">
      <alignment vertical="center" wrapText="1"/>
    </xf>
    <xf numFmtId="3" fontId="12" fillId="5" borderId="0" xfId="0" applyNumberFormat="1" applyFont="1" applyFill="1" applyAlignment="1">
      <alignment vertical="top" wrapText="1"/>
    </xf>
    <xf numFmtId="3" fontId="14" fillId="0" borderId="4" xfId="0" applyNumberFormat="1" applyFont="1" applyBorder="1" applyAlignment="1">
      <alignment horizontal="right" vertical="center" wrapText="1"/>
    </xf>
    <xf numFmtId="164" fontId="17" fillId="4" borderId="1" xfId="8" applyNumberFormat="1" applyFont="1" applyFill="1" applyBorder="1" applyAlignment="1" applyProtection="1">
      <alignment horizontal="center" vertical="center" wrapText="1"/>
      <protection locked="0"/>
    </xf>
    <xf numFmtId="3" fontId="12" fillId="0" borderId="0" xfId="8" applyNumberFormat="1" applyFont="1" applyProtection="1">
      <protection locked="0"/>
    </xf>
    <xf numFmtId="165" fontId="12" fillId="0" borderId="0" xfId="0" applyNumberFormat="1" applyFont="1"/>
    <xf numFmtId="0" fontId="17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justify" wrapText="1"/>
    </xf>
    <xf numFmtId="3" fontId="14" fillId="0" borderId="4" xfId="0" applyNumberFormat="1" applyFont="1" applyBorder="1" applyAlignment="1">
      <alignment horizontal="right"/>
    </xf>
    <xf numFmtId="0" fontId="11" fillId="0" borderId="0" xfId="0" applyFont="1"/>
    <xf numFmtId="4" fontId="12" fillId="0" borderId="1" xfId="7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center" vertical="center" wrapText="1"/>
    </xf>
    <xf numFmtId="3" fontId="17" fillId="0" borderId="1" xfId="7" applyNumberFormat="1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3" fontId="13" fillId="0" borderId="0" xfId="0" applyNumberFormat="1" applyFont="1" applyAlignment="1">
      <alignment horizontal="center" vertical="center" wrapText="1"/>
    </xf>
    <xf numFmtId="10" fontId="39" fillId="0" borderId="1" xfId="9" applyNumberFormat="1" applyFont="1" applyBorder="1"/>
    <xf numFmtId="14" fontId="51" fillId="7" borderId="0" xfId="0" applyNumberFormat="1" applyFont="1" applyFill="1" applyAlignment="1" applyProtection="1">
      <alignment horizontal="center"/>
      <protection locked="0"/>
    </xf>
    <xf numFmtId="14" fontId="17" fillId="4" borderId="1" xfId="7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44" fillId="4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/>
    <xf numFmtId="14" fontId="17" fillId="0" borderId="1" xfId="0" applyNumberFormat="1" applyFont="1" applyBorder="1" applyAlignment="1">
      <alignment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49" fontId="21" fillId="3" borderId="7" xfId="0" applyNumberFormat="1" applyFont="1" applyFill="1" applyBorder="1" applyAlignment="1">
      <alignment vertical="center" wrapText="1"/>
    </xf>
    <xf numFmtId="49" fontId="21" fillId="3" borderId="8" xfId="0" applyNumberFormat="1" applyFont="1" applyFill="1" applyBorder="1" applyAlignment="1">
      <alignment vertical="center" wrapText="1"/>
    </xf>
    <xf numFmtId="49" fontId="21" fillId="0" borderId="6" xfId="0" applyNumberFormat="1" applyFont="1" applyBorder="1" applyAlignment="1">
      <alignment vertical="center" wrapText="1"/>
    </xf>
    <xf numFmtId="49" fontId="21" fillId="0" borderId="10" xfId="0" applyNumberFormat="1" applyFont="1" applyBorder="1" applyAlignment="1">
      <alignment vertical="center" wrapText="1"/>
    </xf>
    <xf numFmtId="14" fontId="17" fillId="0" borderId="1" xfId="0" applyNumberFormat="1" applyFont="1" applyBorder="1" applyAlignment="1">
      <alignment horizontal="left" wrapText="1"/>
    </xf>
    <xf numFmtId="14" fontId="40" fillId="0" borderId="0" xfId="0" applyNumberFormat="1" applyFont="1" applyAlignment="1">
      <alignment horizontal="right" vertical="center"/>
    </xf>
    <xf numFmtId="3" fontId="12" fillId="0" borderId="3" xfId="0" applyNumberFormat="1" applyFont="1" applyBorder="1"/>
    <xf numFmtId="3" fontId="13" fillId="0" borderId="2" xfId="12" applyNumberFormat="1" applyFont="1" applyBorder="1" applyAlignment="1">
      <alignment vertical="center" wrapText="1"/>
    </xf>
    <xf numFmtId="3" fontId="12" fillId="0" borderId="1" xfId="12" applyNumberFormat="1" applyFont="1" applyBorder="1" applyAlignment="1">
      <alignment horizontal="right" vertical="center" wrapText="1"/>
    </xf>
    <xf numFmtId="3" fontId="14" fillId="0" borderId="1" xfId="12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top" wrapText="1"/>
    </xf>
    <xf numFmtId="3" fontId="14" fillId="0" borderId="4" xfId="0" applyNumberFormat="1" applyFont="1" applyBorder="1" applyAlignment="1">
      <alignment vertical="top" wrapText="1"/>
    </xf>
    <xf numFmtId="3" fontId="14" fillId="0" borderId="4" xfId="0" applyNumberFormat="1" applyFont="1" applyBorder="1" applyAlignment="1">
      <alignment wrapText="1"/>
    </xf>
    <xf numFmtId="3" fontId="14" fillId="10" borderId="0" xfId="0" applyNumberFormat="1" applyFont="1" applyFill="1" applyAlignment="1">
      <alignment horizontal="right" vertical="top" wrapText="1"/>
    </xf>
    <xf numFmtId="0" fontId="12" fillId="0" borderId="0" xfId="0" applyFont="1" applyAlignment="1">
      <alignment horizontal="center" vertical="center"/>
    </xf>
    <xf numFmtId="14" fontId="13" fillId="4" borderId="0" xfId="0" applyNumberFormat="1" applyFont="1" applyFill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vertical="center"/>
    </xf>
    <xf numFmtId="49" fontId="21" fillId="3" borderId="0" xfId="0" applyNumberFormat="1" applyFont="1" applyFill="1" applyAlignment="1">
      <alignment vertical="center" wrapText="1"/>
    </xf>
    <xf numFmtId="3" fontId="17" fillId="3" borderId="0" xfId="0" applyNumberFormat="1" applyFont="1" applyFill="1" applyAlignment="1">
      <alignment vertical="center"/>
    </xf>
    <xf numFmtId="3" fontId="21" fillId="3" borderId="0" xfId="0" applyNumberFormat="1" applyFont="1" applyFill="1" applyAlignment="1">
      <alignment vertical="center"/>
    </xf>
    <xf numFmtId="3" fontId="12" fillId="3" borderId="0" xfId="0" applyNumberFormat="1" applyFont="1" applyFill="1" applyAlignment="1">
      <alignment vertical="center"/>
    </xf>
    <xf numFmtId="0" fontId="21" fillId="0" borderId="6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21" fillId="0" borderId="9" xfId="0" applyFont="1" applyBorder="1" applyAlignment="1">
      <alignment wrapText="1"/>
    </xf>
    <xf numFmtId="0" fontId="21" fillId="0" borderId="0" xfId="0" applyFont="1" applyAlignment="1">
      <alignment wrapText="1"/>
    </xf>
    <xf numFmtId="3" fontId="12" fillId="0" borderId="1" xfId="8" applyNumberFormat="1" applyFont="1" applyBorder="1" applyAlignment="1" applyProtection="1">
      <alignment vertical="center"/>
      <protection locked="0"/>
    </xf>
    <xf numFmtId="3" fontId="12" fillId="0" borderId="0" xfId="8" applyNumberFormat="1" applyFont="1" applyAlignment="1" applyProtection="1">
      <alignment vertical="center"/>
      <protection locked="0"/>
    </xf>
    <xf numFmtId="10" fontId="17" fillId="0" borderId="1" xfId="9" applyNumberFormat="1" applyFont="1" applyBorder="1"/>
    <xf numFmtId="9" fontId="17" fillId="0" borderId="0" xfId="9" applyFont="1" applyAlignment="1">
      <alignment horizontal="right" vertical="center" wrapText="1"/>
    </xf>
    <xf numFmtId="3" fontId="12" fillId="0" borderId="1" xfId="7" applyNumberFormat="1" applyFont="1" applyBorder="1" applyAlignment="1" applyProtection="1">
      <alignment horizontal="right" vertical="center"/>
      <protection locked="0"/>
    </xf>
    <xf numFmtId="10" fontId="12" fillId="0" borderId="1" xfId="8" applyNumberFormat="1" applyFont="1" applyBorder="1" applyProtection="1">
      <protection locked="0"/>
    </xf>
    <xf numFmtId="3" fontId="12" fillId="6" borderId="4" xfId="0" applyNumberFormat="1" applyFont="1" applyFill="1" applyBorder="1"/>
    <xf numFmtId="3" fontId="14" fillId="0" borderId="1" xfId="14" applyNumberFormat="1" applyFont="1" applyBorder="1" applyAlignment="1">
      <alignment horizontal="right" wrapText="1"/>
    </xf>
    <xf numFmtId="0" fontId="55" fillId="0" borderId="0" xfId="0" applyFont="1"/>
    <xf numFmtId="3" fontId="12" fillId="0" borderId="2" xfId="0" applyNumberFormat="1" applyFont="1" applyBorder="1"/>
    <xf numFmtId="3" fontId="17" fillId="0" borderId="0" xfId="0" applyNumberFormat="1" applyFont="1"/>
    <xf numFmtId="0" fontId="13" fillId="4" borderId="2" xfId="0" applyFont="1" applyFill="1" applyBorder="1" applyAlignment="1">
      <alignment horizontal="center" vertical="center" wrapText="1"/>
    </xf>
    <xf numFmtId="164" fontId="17" fillId="4" borderId="4" xfId="8" applyNumberFormat="1" applyFont="1" applyFill="1" applyBorder="1" applyAlignment="1" applyProtection="1">
      <alignment horizontal="center" vertical="center" wrapText="1"/>
      <protection locked="0"/>
    </xf>
    <xf numFmtId="0" fontId="61" fillId="0" borderId="1" xfId="14" applyFont="1" applyBorder="1" applyAlignment="1">
      <alignment wrapText="1"/>
    </xf>
    <xf numFmtId="0" fontId="37" fillId="4" borderId="1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vertical="center" wrapText="1"/>
    </xf>
    <xf numFmtId="0" fontId="17" fillId="0" borderId="11" xfId="0" applyFont="1" applyBorder="1" applyAlignment="1">
      <alignment wrapText="1"/>
    </xf>
    <xf numFmtId="3" fontId="44" fillId="0" borderId="11" xfId="0" applyNumberFormat="1" applyFont="1" applyBorder="1"/>
    <xf numFmtId="3" fontId="61" fillId="0" borderId="1" xfId="0" applyNumberFormat="1" applyFont="1" applyBorder="1" applyAlignment="1">
      <alignment wrapText="1"/>
    </xf>
    <xf numFmtId="3" fontId="59" fillId="0" borderId="1" xfId="0" applyNumberFormat="1" applyFont="1" applyBorder="1" applyAlignment="1">
      <alignment wrapText="1"/>
    </xf>
    <xf numFmtId="0" fontId="17" fillId="11" borderId="1" xfId="0" applyFont="1" applyFill="1" applyBorder="1" applyAlignment="1">
      <alignment horizontal="left" vertical="center" wrapText="1"/>
    </xf>
    <xf numFmtId="3" fontId="17" fillId="11" borderId="1" xfId="0" applyNumberFormat="1" applyFont="1" applyFill="1" applyBorder="1" applyAlignment="1">
      <alignment vertical="center"/>
    </xf>
    <xf numFmtId="0" fontId="12" fillId="11" borderId="1" xfId="0" applyFont="1" applyFill="1" applyBorder="1" applyAlignment="1">
      <alignment horizontal="left" vertical="center" wrapText="1"/>
    </xf>
    <xf numFmtId="3" fontId="12" fillId="11" borderId="1" xfId="0" applyNumberFormat="1" applyFont="1" applyFill="1" applyBorder="1" applyAlignment="1">
      <alignment vertical="center"/>
    </xf>
    <xf numFmtId="0" fontId="21" fillId="11" borderId="1" xfId="0" applyFont="1" applyFill="1" applyBorder="1" applyAlignment="1">
      <alignment horizontal="left" vertical="center" wrapText="1"/>
    </xf>
    <xf numFmtId="3" fontId="21" fillId="11" borderId="1" xfId="0" applyNumberFormat="1" applyFont="1" applyFill="1" applyBorder="1" applyAlignment="1">
      <alignment vertical="center"/>
    </xf>
    <xf numFmtId="49" fontId="12" fillId="11" borderId="1" xfId="0" applyNumberFormat="1" applyFont="1" applyFill="1" applyBorder="1" applyAlignment="1">
      <alignment horizontal="left" vertical="center" wrapText="1"/>
    </xf>
    <xf numFmtId="3" fontId="12" fillId="11" borderId="2" xfId="0" applyNumberFormat="1" applyFont="1" applyFill="1" applyBorder="1" applyAlignment="1">
      <alignment vertical="center"/>
    </xf>
    <xf numFmtId="0" fontId="17" fillId="11" borderId="2" xfId="0" applyFont="1" applyFill="1" applyBorder="1" applyAlignment="1">
      <alignment horizontal="left" vertical="center" wrapText="1"/>
    </xf>
    <xf numFmtId="3" fontId="17" fillId="11" borderId="2" xfId="0" applyNumberFormat="1" applyFont="1" applyFill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0" fillId="0" borderId="0" xfId="0" applyFont="1" applyAlignment="1">
      <alignment horizontal="justify"/>
    </xf>
    <xf numFmtId="3" fontId="12" fillId="12" borderId="0" xfId="0" applyNumberFormat="1" applyFont="1" applyFill="1"/>
    <xf numFmtId="49" fontId="12" fillId="3" borderId="2" xfId="0" applyNumberFormat="1" applyFont="1" applyFill="1" applyBorder="1" applyAlignment="1">
      <alignment horizontal="left" vertical="center" wrapText="1"/>
    </xf>
    <xf numFmtId="3" fontId="59" fillId="0" borderId="1" xfId="0" applyNumberFormat="1" applyFont="1" applyBorder="1" applyAlignment="1">
      <alignment horizontal="right"/>
    </xf>
    <xf numFmtId="0" fontId="59" fillId="0" borderId="1" xfId="0" applyFont="1" applyBorder="1" applyAlignment="1">
      <alignment vertical="top" wrapText="1"/>
    </xf>
    <xf numFmtId="0" fontId="17" fillId="10" borderId="0" xfId="0" applyFont="1" applyFill="1"/>
    <xf numFmtId="3" fontId="17" fillId="10" borderId="0" xfId="0" applyNumberFormat="1" applyFont="1" applyFill="1"/>
    <xf numFmtId="0" fontId="12" fillId="0" borderId="6" xfId="14" applyFont="1" applyBorder="1" applyAlignment="1">
      <alignment vertical="top" wrapText="1"/>
    </xf>
    <xf numFmtId="0" fontId="12" fillId="0" borderId="4" xfId="14" applyFont="1" applyBorder="1" applyAlignment="1">
      <alignment vertical="top" wrapText="1"/>
    </xf>
    <xf numFmtId="0" fontId="12" fillId="0" borderId="6" xfId="12" applyFont="1" applyBorder="1" applyAlignment="1">
      <alignment vertical="top" wrapText="1"/>
    </xf>
    <xf numFmtId="0" fontId="12" fillId="0" borderId="4" xfId="12" applyFont="1" applyBorder="1" applyAlignment="1">
      <alignment vertical="top" wrapText="1"/>
    </xf>
    <xf numFmtId="3" fontId="12" fillId="0" borderId="1" xfId="1" applyNumberFormat="1" applyFont="1" applyBorder="1" applyAlignment="1">
      <alignment horizontal="right" wrapText="1"/>
    </xf>
    <xf numFmtId="3" fontId="12" fillId="0" borderId="1" xfId="8" applyNumberFormat="1" applyFont="1" applyBorder="1" applyAlignment="1" applyProtection="1">
      <alignment wrapText="1"/>
      <protection locked="0"/>
    </xf>
    <xf numFmtId="0" fontId="17" fillId="0" borderId="2" xfId="0" applyFont="1" applyBorder="1" applyAlignment="1">
      <alignment horizontal="left" wrapText="1"/>
    </xf>
    <xf numFmtId="9" fontId="17" fillId="0" borderId="1" xfId="9" applyFont="1" applyFill="1" applyBorder="1" applyAlignment="1">
      <alignment horizontal="right" wrapText="1"/>
    </xf>
    <xf numFmtId="3" fontId="17" fillId="0" borderId="2" xfId="0" applyNumberFormat="1" applyFont="1" applyBorder="1" applyAlignment="1">
      <alignment vertical="center"/>
    </xf>
    <xf numFmtId="0" fontId="66" fillId="0" borderId="3" xfId="0" applyFont="1" applyBorder="1" applyAlignment="1">
      <alignment wrapText="1"/>
    </xf>
    <xf numFmtId="0" fontId="67" fillId="0" borderId="3" xfId="0" applyFont="1" applyBorder="1"/>
    <xf numFmtId="3" fontId="20" fillId="0" borderId="0" xfId="0" applyNumberFormat="1" applyFont="1"/>
    <xf numFmtId="3" fontId="17" fillId="0" borderId="11" xfId="0" applyNumberFormat="1" applyFont="1" applyBorder="1" applyAlignment="1">
      <alignment vertical="center"/>
    </xf>
    <xf numFmtId="0" fontId="12" fillId="0" borderId="0" xfId="0" applyFont="1" applyAlignment="1">
      <alignment horizontal="right"/>
    </xf>
    <xf numFmtId="0" fontId="17" fillId="13" borderId="1" xfId="0" applyFont="1" applyFill="1" applyBorder="1" applyAlignment="1">
      <alignment horizontal="center" vertical="center" wrapText="1"/>
    </xf>
    <xf numFmtId="14" fontId="13" fillId="13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10" fontId="17" fillId="0" borderId="0" xfId="9" applyNumberFormat="1" applyFont="1" applyBorder="1"/>
    <xf numFmtId="0" fontId="43" fillId="0" borderId="0" xfId="2" quotePrefix="1" applyFont="1" applyFill="1" applyAlignment="1" applyProtection="1">
      <alignment vertical="top"/>
    </xf>
    <xf numFmtId="0" fontId="36" fillId="0" borderId="0" xfId="0" applyFont="1"/>
    <xf numFmtId="0" fontId="18" fillId="0" borderId="0" xfId="2" quotePrefix="1" applyFill="1" applyAlignment="1" applyProtection="1">
      <alignment vertical="top"/>
    </xf>
    <xf numFmtId="0" fontId="63" fillId="0" borderId="0" xfId="57" applyFont="1" applyAlignment="1">
      <alignment vertical="center"/>
    </xf>
    <xf numFmtId="0" fontId="11" fillId="0" borderId="0" xfId="57" applyAlignment="1">
      <alignment vertical="center"/>
    </xf>
    <xf numFmtId="0" fontId="11" fillId="0" borderId="0" xfId="57"/>
    <xf numFmtId="0" fontId="62" fillId="0" borderId="0" xfId="57" applyFont="1" applyAlignment="1">
      <alignment vertical="center"/>
    </xf>
    <xf numFmtId="0" fontId="12" fillId="0" borderId="0" xfId="57" applyFont="1" applyAlignment="1">
      <alignment vertical="center"/>
    </xf>
    <xf numFmtId="0" fontId="12" fillId="0" borderId="0" xfId="57" applyFont="1"/>
    <xf numFmtId="3" fontId="12" fillId="0" borderId="1" xfId="58" applyNumberFormat="1" applyFont="1" applyBorder="1" applyAlignment="1">
      <alignment horizontal="right" wrapText="1"/>
    </xf>
    <xf numFmtId="49" fontId="12" fillId="0" borderId="1" xfId="8" applyNumberFormat="1" applyFont="1" applyBorder="1" applyProtection="1">
      <protection locked="0"/>
    </xf>
    <xf numFmtId="4" fontId="12" fillId="0" borderId="1" xfId="0" applyNumberFormat="1" applyFont="1" applyBorder="1"/>
    <xf numFmtId="49" fontId="12" fillId="0" borderId="1" xfId="8" applyNumberFormat="1" applyFont="1" applyBorder="1" applyAlignment="1" applyProtection="1">
      <alignment wrapText="1"/>
      <protection locked="0"/>
    </xf>
    <xf numFmtId="166" fontId="12" fillId="0" borderId="1" xfId="8" applyNumberFormat="1" applyFont="1" applyBorder="1" applyAlignment="1" applyProtection="1">
      <alignment wrapText="1"/>
      <protection locked="0"/>
    </xf>
    <xf numFmtId="3" fontId="12" fillId="0" borderId="3" xfId="0" applyNumberFormat="1" applyFont="1" applyBorder="1" applyAlignment="1">
      <alignment vertical="center"/>
    </xf>
    <xf numFmtId="3" fontId="27" fillId="0" borderId="0" xfId="7" applyNumberFormat="1" applyFont="1" applyAlignment="1">
      <alignment vertical="center"/>
    </xf>
    <xf numFmtId="3" fontId="12" fillId="0" borderId="4" xfId="7" applyNumberFormat="1" applyFont="1" applyBorder="1" applyAlignment="1">
      <alignment horizontal="right" vertical="center" wrapText="1"/>
    </xf>
    <xf numFmtId="49" fontId="12" fillId="0" borderId="1" xfId="0" quotePrefix="1" applyNumberFormat="1" applyFont="1" applyBorder="1" applyAlignment="1">
      <alignment wrapText="1"/>
    </xf>
    <xf numFmtId="3" fontId="12" fillId="6" borderId="1" xfId="8" applyNumberFormat="1" applyFont="1" applyFill="1" applyBorder="1" applyProtection="1">
      <protection locked="0"/>
    </xf>
    <xf numFmtId="10" fontId="12" fillId="6" borderId="1" xfId="8" applyNumberFormat="1" applyFont="1" applyFill="1" applyBorder="1" applyProtection="1">
      <protection locked="0"/>
    </xf>
    <xf numFmtId="3" fontId="68" fillId="6" borderId="1" xfId="0" applyNumberFormat="1" applyFont="1" applyFill="1" applyBorder="1" applyAlignment="1">
      <alignment horizontal="right" wrapText="1"/>
    </xf>
    <xf numFmtId="3" fontId="68" fillId="0" borderId="1" xfId="0" applyNumberFormat="1" applyFont="1" applyBorder="1" applyAlignment="1">
      <alignment horizontal="right" wrapText="1"/>
    </xf>
    <xf numFmtId="3" fontId="14" fillId="0" borderId="1" xfId="58" applyNumberFormat="1" applyFont="1" applyBorder="1" applyAlignment="1">
      <alignment wrapText="1"/>
    </xf>
    <xf numFmtId="3" fontId="68" fillId="0" borderId="1" xfId="58" applyNumberFormat="1" applyFont="1" applyBorder="1" applyAlignment="1">
      <alignment wrapText="1"/>
    </xf>
    <xf numFmtId="3" fontId="12" fillId="0" borderId="1" xfId="58" applyNumberFormat="1" applyFont="1" applyBorder="1" applyAlignment="1">
      <alignment wrapText="1"/>
    </xf>
    <xf numFmtId="0" fontId="17" fillId="6" borderId="0" xfId="0" applyFont="1" applyFill="1"/>
    <xf numFmtId="0" fontId="11" fillId="0" borderId="0" xfId="58"/>
    <xf numFmtId="0" fontId="12" fillId="0" borderId="0" xfId="58" applyFont="1" applyAlignment="1">
      <alignment horizontal="left" wrapText="1"/>
    </xf>
    <xf numFmtId="0" fontId="14" fillId="0" borderId="1" xfId="0" applyFont="1" applyBorder="1" applyAlignment="1">
      <alignment horizontal="justify" vertical="top" wrapText="1"/>
    </xf>
    <xf numFmtId="0" fontId="12" fillId="0" borderId="0" xfId="0" applyFont="1" applyAlignment="1">
      <alignment horizontal="left" wrapText="1"/>
    </xf>
    <xf numFmtId="3" fontId="14" fillId="0" borderId="0" xfId="0" applyNumberFormat="1" applyFont="1" applyAlignment="1">
      <alignment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4" fillId="0" borderId="1" xfId="58" applyNumberFormat="1" applyFont="1" applyBorder="1" applyAlignment="1">
      <alignment horizontal="right" wrapText="1"/>
    </xf>
    <xf numFmtId="3" fontId="14" fillId="0" borderId="1" xfId="12" applyNumberFormat="1" applyFont="1" applyBorder="1" applyAlignment="1">
      <alignment horizontal="right" wrapText="1"/>
    </xf>
    <xf numFmtId="3" fontId="13" fillId="0" borderId="1" xfId="58" applyNumberFormat="1" applyFont="1" applyBorder="1" applyAlignment="1">
      <alignment horizontal="right" wrapText="1"/>
    </xf>
    <xf numFmtId="3" fontId="31" fillId="0" borderId="0" xfId="0" applyNumberFormat="1" applyFont="1"/>
    <xf numFmtId="3" fontId="29" fillId="0" borderId="0" xfId="0" applyNumberFormat="1" applyFont="1"/>
    <xf numFmtId="3" fontId="11" fillId="0" borderId="0" xfId="0" applyNumberFormat="1" applyFont="1"/>
    <xf numFmtId="3" fontId="25" fillId="0" borderId="0" xfId="7" applyNumberFormat="1" applyFont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3" fontId="14" fillId="6" borderId="4" xfId="0" applyNumberFormat="1" applyFont="1" applyFill="1" applyBorder="1" applyAlignment="1">
      <alignment horizontal="right"/>
    </xf>
    <xf numFmtId="3" fontId="13" fillId="0" borderId="4" xfId="0" applyNumberFormat="1" applyFont="1" applyBorder="1" applyAlignment="1">
      <alignment horizontal="right"/>
    </xf>
    <xf numFmtId="0" fontId="12" fillId="0" borderId="2" xfId="0" quotePrefix="1" applyFont="1" applyBorder="1" applyAlignment="1">
      <alignment horizontal="left" wrapText="1"/>
    </xf>
    <xf numFmtId="167" fontId="12" fillId="6" borderId="0" xfId="0" applyNumberFormat="1" applyFont="1" applyFill="1"/>
    <xf numFmtId="0" fontId="17" fillId="0" borderId="2" xfId="0" quotePrefix="1" applyFont="1" applyBorder="1" applyAlignment="1">
      <alignment horizontal="left" wrapText="1"/>
    </xf>
    <xf numFmtId="3" fontId="13" fillId="0" borderId="1" xfId="0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right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10" fontId="13" fillId="0" borderId="1" xfId="0" applyNumberFormat="1" applyFont="1" applyBorder="1" applyAlignment="1">
      <alignment horizontal="right"/>
    </xf>
    <xf numFmtId="0" fontId="59" fillId="14" borderId="1" xfId="5" applyFont="1" applyFill="1" applyBorder="1" applyAlignment="1">
      <alignment horizontal="center" vertical="center"/>
    </xf>
    <xf numFmtId="14" fontId="59" fillId="14" borderId="1" xfId="10" applyNumberFormat="1" applyFont="1" applyFill="1" applyBorder="1" applyAlignment="1">
      <alignment horizontal="center" vertical="center"/>
    </xf>
    <xf numFmtId="0" fontId="59" fillId="14" borderId="14" xfId="0" applyFont="1" applyFill="1" applyBorder="1" applyAlignment="1">
      <alignment horizontal="center" vertical="center"/>
    </xf>
    <xf numFmtId="0" fontId="59" fillId="14" borderId="17" xfId="0" applyFont="1" applyFill="1" applyBorder="1" applyAlignment="1">
      <alignment horizontal="center" vertical="center"/>
    </xf>
    <xf numFmtId="0" fontId="59" fillId="14" borderId="17" xfId="0" applyFont="1" applyFill="1" applyBorder="1" applyAlignment="1">
      <alignment horizontal="center" vertical="center" wrapText="1"/>
    </xf>
    <xf numFmtId="0" fontId="61" fillId="0" borderId="18" xfId="0" applyFont="1" applyBorder="1" applyAlignment="1">
      <alignment vertical="center"/>
    </xf>
    <xf numFmtId="0" fontId="61" fillId="0" borderId="16" xfId="0" applyFont="1" applyBorder="1" applyAlignment="1">
      <alignment vertical="center"/>
    </xf>
    <xf numFmtId="0" fontId="61" fillId="0" borderId="16" xfId="0" applyFont="1" applyBorder="1" applyAlignment="1">
      <alignment horizontal="right" vertical="center" wrapText="1"/>
    </xf>
    <xf numFmtId="0" fontId="59" fillId="0" borderId="15" xfId="0" applyFont="1" applyBorder="1" applyAlignment="1">
      <alignment vertical="center"/>
    </xf>
    <xf numFmtId="0" fontId="69" fillId="0" borderId="16" xfId="0" applyFont="1" applyBorder="1" applyAlignment="1">
      <alignment vertical="center"/>
    </xf>
    <xf numFmtId="0" fontId="59" fillId="0" borderId="16" xfId="0" applyFont="1" applyBorder="1" applyAlignment="1">
      <alignment horizontal="right" vertical="center" wrapText="1"/>
    </xf>
    <xf numFmtId="0" fontId="17" fillId="4" borderId="1" xfId="143" applyFont="1" applyFill="1" applyBorder="1" applyAlignment="1">
      <alignment horizontal="center" vertical="center" wrapText="1"/>
    </xf>
    <xf numFmtId="0" fontId="13" fillId="4" borderId="1" xfId="143" applyFont="1" applyFill="1" applyBorder="1" applyAlignment="1">
      <alignment horizontal="center" vertical="center" wrapText="1"/>
    </xf>
    <xf numFmtId="0" fontId="17" fillId="0" borderId="1" xfId="143" applyFont="1" applyBorder="1" applyAlignment="1">
      <alignment horizontal="left" wrapText="1"/>
    </xf>
    <xf numFmtId="3" fontId="17" fillId="0" borderId="1" xfId="143" applyNumberFormat="1" applyFont="1" applyBorder="1" applyAlignment="1">
      <alignment horizontal="right" wrapText="1"/>
    </xf>
    <xf numFmtId="0" fontId="12" fillId="0" borderId="1" xfId="143" applyFont="1" applyBorder="1" applyAlignment="1">
      <alignment horizontal="left" wrapText="1"/>
    </xf>
    <xf numFmtId="3" fontId="12" fillId="0" borderId="1" xfId="143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12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/>
    </xf>
    <xf numFmtId="3" fontId="27" fillId="2" borderId="0" xfId="7" applyNumberFormat="1" applyFont="1" applyFill="1" applyAlignment="1">
      <alignment vertical="center"/>
    </xf>
    <xf numFmtId="3" fontId="21" fillId="0" borderId="1" xfId="7" applyNumberFormat="1" applyFont="1" applyBorder="1" applyAlignment="1" applyProtection="1">
      <alignment horizontal="right" vertical="center" wrapText="1"/>
      <protection locked="0"/>
    </xf>
    <xf numFmtId="0" fontId="11" fillId="2" borderId="0" xfId="7" applyFont="1" applyFill="1" applyAlignment="1">
      <alignment vertical="center"/>
    </xf>
    <xf numFmtId="0" fontId="11" fillId="0" borderId="0" xfId="7" applyFont="1"/>
    <xf numFmtId="0" fontId="11" fillId="0" borderId="0" xfId="7" applyFont="1" applyAlignment="1">
      <alignment vertical="center"/>
    </xf>
    <xf numFmtId="3" fontId="11" fillId="0" borderId="0" xfId="7" applyNumberFormat="1" applyFont="1" applyAlignment="1">
      <alignment vertical="center"/>
    </xf>
    <xf numFmtId="3" fontId="29" fillId="0" borderId="0" xfId="7" applyNumberFormat="1" applyFont="1" applyAlignment="1">
      <alignment vertical="center"/>
    </xf>
    <xf numFmtId="3" fontId="17" fillId="0" borderId="1" xfId="22" applyNumberFormat="1" applyFont="1" applyFill="1" applyBorder="1" applyAlignment="1">
      <alignment wrapText="1"/>
    </xf>
    <xf numFmtId="3" fontId="17" fillId="0" borderId="13" xfId="22" applyNumberFormat="1" applyFont="1" applyFill="1" applyBorder="1" applyAlignment="1">
      <alignment wrapText="1"/>
    </xf>
    <xf numFmtId="0" fontId="58" fillId="0" borderId="0" xfId="5"/>
    <xf numFmtId="0" fontId="70" fillId="0" borderId="0" xfId="5" applyFont="1"/>
    <xf numFmtId="0" fontId="59" fillId="14" borderId="19" xfId="0" applyFont="1" applyFill="1" applyBorder="1" applyAlignment="1">
      <alignment horizontal="center" vertical="center"/>
    </xf>
    <xf numFmtId="3" fontId="13" fillId="0" borderId="18" xfId="0" applyNumberFormat="1" applyFont="1" applyBorder="1" applyAlignment="1">
      <alignment horizontal="right"/>
    </xf>
    <xf numFmtId="3" fontId="14" fillId="0" borderId="14" xfId="0" applyNumberFormat="1" applyFont="1" applyBorder="1" applyAlignment="1">
      <alignment horizontal="right"/>
    </xf>
    <xf numFmtId="0" fontId="72" fillId="0" borderId="1" xfId="148" applyFont="1" applyBorder="1" applyAlignment="1">
      <alignment wrapText="1"/>
    </xf>
    <xf numFmtId="0" fontId="73" fillId="0" borderId="3" xfId="0" applyFont="1" applyBorder="1"/>
    <xf numFmtId="0" fontId="68" fillId="0" borderId="3" xfId="0" applyFont="1" applyBorder="1"/>
    <xf numFmtId="9" fontId="17" fillId="0" borderId="1" xfId="9" quotePrefix="1" applyFont="1" applyBorder="1" applyAlignment="1">
      <alignment horizontal="right" wrapText="1"/>
    </xf>
    <xf numFmtId="3" fontId="54" fillId="0" borderId="0" xfId="0" applyNumberFormat="1" applyFont="1"/>
    <xf numFmtId="0" fontId="17" fillId="16" borderId="14" xfId="0" applyFont="1" applyFill="1" applyBorder="1" applyAlignment="1">
      <alignment horizontal="center" vertical="center"/>
    </xf>
    <xf numFmtId="14" fontId="59" fillId="16" borderId="17" xfId="0" applyNumberFormat="1" applyFont="1" applyFill="1" applyBorder="1" applyAlignment="1">
      <alignment horizontal="center" vertical="center" wrapText="1"/>
    </xf>
    <xf numFmtId="0" fontId="61" fillId="0" borderId="1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8" fontId="12" fillId="0" borderId="16" xfId="0" applyNumberFormat="1" applyFont="1" applyBorder="1" applyAlignment="1">
      <alignment horizontal="right" vertical="center"/>
    </xf>
    <xf numFmtId="10" fontId="12" fillId="0" borderId="16" xfId="0" applyNumberFormat="1" applyFont="1" applyBorder="1" applyAlignment="1">
      <alignment horizontal="right" vertical="center"/>
    </xf>
    <xf numFmtId="0" fontId="12" fillId="0" borderId="16" xfId="0" applyFont="1" applyBorder="1" applyAlignment="1">
      <alignment horizontal="justify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59" fillId="9" borderId="14" xfId="0" applyFont="1" applyFill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justify" wrapText="1"/>
    </xf>
    <xf numFmtId="2" fontId="11" fillId="0" borderId="0" xfId="7" applyNumberFormat="1" applyFont="1" applyAlignment="1">
      <alignment vertical="center"/>
    </xf>
    <xf numFmtId="2" fontId="27" fillId="0" borderId="0" xfId="7" applyNumberFormat="1" applyFont="1" applyAlignment="1">
      <alignment vertical="center"/>
    </xf>
    <xf numFmtId="167" fontId="12" fillId="0" borderId="0" xfId="0" applyNumberFormat="1" applyFont="1"/>
    <xf numFmtId="49" fontId="12" fillId="6" borderId="1" xfId="0" applyNumberFormat="1" applyFont="1" applyFill="1" applyBorder="1" applyAlignment="1">
      <alignment horizontal="left" indent="1"/>
    </xf>
    <xf numFmtId="3" fontId="12" fillId="6" borderId="1" xfId="1" applyNumberFormat="1" applyFont="1" applyFill="1" applyBorder="1" applyAlignment="1">
      <alignment horizontal="right" wrapText="1"/>
    </xf>
    <xf numFmtId="3" fontId="59" fillId="6" borderId="1" xfId="58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justify" vertical="center"/>
    </xf>
    <xf numFmtId="3" fontId="12" fillId="0" borderId="1" xfId="58" applyNumberFormat="1" applyFont="1" applyBorder="1"/>
    <xf numFmtId="0" fontId="12" fillId="0" borderId="1" xfId="58" applyFont="1" applyBorder="1" applyAlignment="1">
      <alignment horizontal="left" wrapText="1"/>
    </xf>
    <xf numFmtId="3" fontId="14" fillId="0" borderId="1" xfId="58" applyNumberFormat="1" applyFont="1" applyBorder="1" applyAlignment="1">
      <alignment vertical="center" wrapText="1"/>
    </xf>
    <xf numFmtId="3" fontId="14" fillId="6" borderId="4" xfId="58" applyNumberFormat="1" applyFont="1" applyFill="1" applyBorder="1" applyAlignment="1">
      <alignment horizontal="right"/>
    </xf>
    <xf numFmtId="0" fontId="12" fillId="0" borderId="2" xfId="58" quotePrefix="1" applyFont="1" applyBorder="1" applyAlignment="1">
      <alignment horizontal="left" wrapText="1"/>
    </xf>
    <xf numFmtId="3" fontId="14" fillId="0" borderId="4" xfId="58" applyNumberFormat="1" applyFont="1" applyBorder="1" applyAlignment="1">
      <alignment vertical="center" wrapText="1"/>
    </xf>
    <xf numFmtId="0" fontId="12" fillId="0" borderId="1" xfId="12" applyFont="1" applyBorder="1" applyAlignment="1">
      <alignment horizontal="left" wrapText="1"/>
    </xf>
    <xf numFmtId="0" fontId="12" fillId="0" borderId="3" xfId="58" applyFont="1" applyBorder="1" applyAlignment="1">
      <alignment horizontal="left" wrapText="1"/>
    </xf>
    <xf numFmtId="14" fontId="17" fillId="0" borderId="1" xfId="58" applyNumberFormat="1" applyFont="1" applyBorder="1" applyAlignment="1">
      <alignment horizontal="center" wrapText="1"/>
    </xf>
    <xf numFmtId="0" fontId="12" fillId="0" borderId="1" xfId="58" applyFont="1" applyBorder="1"/>
    <xf numFmtId="0" fontId="13" fillId="4" borderId="1" xfId="58" applyFont="1" applyFill="1" applyBorder="1" applyAlignment="1">
      <alignment horizontal="center" vertical="center" wrapText="1"/>
    </xf>
    <xf numFmtId="3" fontId="12" fillId="0" borderId="1" xfId="58" applyNumberFormat="1" applyFont="1" applyBorder="1" applyAlignment="1">
      <alignment horizontal="right" vertical="center" wrapText="1"/>
    </xf>
    <xf numFmtId="0" fontId="17" fillId="0" borderId="1" xfId="58" applyFont="1" applyBorder="1" applyAlignment="1">
      <alignment horizontal="left" vertical="center" wrapText="1"/>
    </xf>
    <xf numFmtId="0" fontId="12" fillId="0" borderId="1" xfId="58" applyFont="1" applyBorder="1" applyAlignment="1">
      <alignment horizontal="left" vertical="center"/>
    </xf>
    <xf numFmtId="0" fontId="13" fillId="3" borderId="1" xfId="58" applyFont="1" applyFill="1" applyBorder="1" applyAlignment="1">
      <alignment horizontal="left" vertical="center" wrapText="1"/>
    </xf>
    <xf numFmtId="0" fontId="14" fillId="3" borderId="1" xfId="58" applyFont="1" applyFill="1" applyBorder="1" applyAlignment="1">
      <alignment horizontal="left" vertical="center" wrapText="1"/>
    </xf>
    <xf numFmtId="3" fontId="12" fillId="0" borderId="1" xfId="58" applyNumberFormat="1" applyFont="1" applyBorder="1" applyAlignment="1">
      <alignment horizontal="right" vertical="center"/>
    </xf>
    <xf numFmtId="3" fontId="68" fillId="0" borderId="1" xfId="58" applyNumberFormat="1" applyFont="1" applyBorder="1" applyAlignment="1">
      <alignment horizontal="right" vertical="center"/>
    </xf>
    <xf numFmtId="3" fontId="17" fillId="0" borderId="1" xfId="58" applyNumberFormat="1" applyFont="1" applyBorder="1" applyAlignment="1">
      <alignment horizontal="right" vertical="center"/>
    </xf>
    <xf numFmtId="0" fontId="17" fillId="0" borderId="1" xfId="58" applyFont="1" applyBorder="1" applyAlignment="1">
      <alignment vertical="center"/>
    </xf>
    <xf numFmtId="0" fontId="12" fillId="0" borderId="1" xfId="58" applyFont="1" applyBorder="1" applyAlignment="1">
      <alignment horizontal="center" wrapText="1"/>
    </xf>
    <xf numFmtId="168" fontId="17" fillId="0" borderId="1" xfId="9" applyNumberFormat="1" applyFont="1" applyBorder="1" applyAlignment="1">
      <alignment horizontal="right" vertical="center" wrapText="1"/>
    </xf>
    <xf numFmtId="0" fontId="17" fillId="18" borderId="1" xfId="58" applyFont="1" applyFill="1" applyBorder="1" applyAlignment="1">
      <alignment horizontal="center" vertical="center"/>
    </xf>
    <xf numFmtId="168" fontId="17" fillId="0" borderId="1" xfId="58" applyNumberFormat="1" applyFont="1" applyBorder="1" applyAlignment="1">
      <alignment horizontal="right" vertical="center" wrapText="1"/>
    </xf>
    <xf numFmtId="0" fontId="17" fillId="18" borderId="1" xfId="58" applyFont="1" applyFill="1" applyBorder="1" applyAlignment="1">
      <alignment horizontal="center" vertical="center" wrapText="1"/>
    </xf>
    <xf numFmtId="0" fontId="68" fillId="0" borderId="4" xfId="5" applyFont="1" applyBorder="1"/>
    <xf numFmtId="168" fontId="17" fillId="0" borderId="1" xfId="9" applyNumberFormat="1" applyFont="1" applyFill="1" applyBorder="1" applyAlignment="1">
      <alignment horizontal="right" vertical="center" wrapText="1"/>
    </xf>
    <xf numFmtId="9" fontId="17" fillId="18" borderId="1" xfId="9" applyFont="1" applyFill="1" applyBorder="1" applyAlignment="1">
      <alignment horizontal="center" vertical="center" wrapText="1"/>
    </xf>
    <xf numFmtId="0" fontId="17" fillId="0" borderId="1" xfId="58" applyFont="1" applyBorder="1" applyAlignment="1">
      <alignment horizontal="center" wrapText="1"/>
    </xf>
    <xf numFmtId="0" fontId="12" fillId="0" borderId="1" xfId="58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justify"/>
    </xf>
    <xf numFmtId="3" fontId="13" fillId="0" borderId="0" xfId="0" applyNumberFormat="1" applyFont="1" applyAlignment="1">
      <alignment horizontal="left" wrapText="1" indent="3"/>
    </xf>
    <xf numFmtId="0" fontId="21" fillId="4" borderId="1" xfId="0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right" vertical="center"/>
    </xf>
    <xf numFmtId="10" fontId="17" fillId="0" borderId="1" xfId="9" applyNumberFormat="1" applyFont="1" applyBorder="1" applyAlignment="1">
      <alignment horizontal="right"/>
    </xf>
    <xf numFmtId="3" fontId="14" fillId="6" borderId="1" xfId="0" applyNumberFormat="1" applyFont="1" applyFill="1" applyBorder="1" applyAlignment="1">
      <alignment horizontal="center" wrapText="1"/>
    </xf>
    <xf numFmtId="3" fontId="12" fillId="6" borderId="1" xfId="0" applyNumberFormat="1" applyFont="1" applyFill="1" applyBorder="1" applyAlignment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center" wrapText="1"/>
    </xf>
    <xf numFmtId="0" fontId="62" fillId="0" borderId="0" xfId="0" applyFont="1" applyAlignment="1">
      <alignment vertical="center"/>
    </xf>
    <xf numFmtId="0" fontId="12" fillId="0" borderId="6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3" fontId="17" fillId="0" borderId="1" xfId="5" applyNumberFormat="1" applyFont="1" applyBorder="1" applyAlignment="1">
      <alignment horizontal="right" vertical="center"/>
    </xf>
    <xf numFmtId="0" fontId="17" fillId="17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0" xfId="0" applyFont="1"/>
    <xf numFmtId="0" fontId="43" fillId="0" borderId="0" xfId="2" quotePrefix="1" applyFont="1" applyProtection="1">
      <alignment vertical="top"/>
    </xf>
    <xf numFmtId="0" fontId="12" fillId="0" borderId="0" xfId="0" applyFont="1"/>
    <xf numFmtId="0" fontId="17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7" applyFont="1" applyBorder="1" applyAlignment="1">
      <alignment horizontal="left" vertical="center"/>
    </xf>
    <xf numFmtId="0" fontId="13" fillId="4" borderId="6" xfId="0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justify" wrapText="1"/>
    </xf>
    <xf numFmtId="0" fontId="17" fillId="4" borderId="2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7" fillId="0" borderId="13" xfId="0" applyFont="1" applyBorder="1" applyAlignment="1">
      <alignment horizontal="left" wrapText="1"/>
    </xf>
    <xf numFmtId="0" fontId="17" fillId="1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1" xfId="0" applyFont="1" applyBorder="1" applyAlignment="1">
      <alignment horizontal="left" wrapText="1"/>
    </xf>
    <xf numFmtId="0" fontId="17" fillId="15" borderId="1" xfId="0" applyFont="1" applyFill="1" applyBorder="1" applyAlignment="1">
      <alignment horizontal="center" vertical="center" wrapText="1"/>
    </xf>
    <xf numFmtId="0" fontId="17" fillId="15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7" fillId="9" borderId="1" xfId="0" applyFont="1" applyFill="1" applyBorder="1" applyAlignment="1">
      <alignment horizontal="center" vertical="center" wrapText="1"/>
    </xf>
    <xf numFmtId="14" fontId="17" fillId="4" borderId="1" xfId="8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38" fillId="0" borderId="6" xfId="0" applyFont="1" applyBorder="1" applyAlignment="1">
      <alignment horizontal="center" wrapText="1"/>
    </xf>
    <xf numFmtId="0" fontId="38" fillId="0" borderId="10" xfId="0" applyFont="1" applyBorder="1" applyAlignment="1">
      <alignment horizontal="center" wrapText="1"/>
    </xf>
    <xf numFmtId="0" fontId="54" fillId="0" borderId="0" xfId="57" applyFont="1" applyAlignment="1">
      <alignment horizontal="left" wrapText="1"/>
    </xf>
    <xf numFmtId="0" fontId="13" fillId="4" borderId="6" xfId="58" applyFont="1" applyFill="1" applyBorder="1" applyAlignment="1">
      <alignment horizontal="center" vertical="center" wrapText="1"/>
    </xf>
    <xf numFmtId="0" fontId="13" fillId="4" borderId="4" xfId="58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2" fillId="0" borderId="6" xfId="12" applyFont="1" applyBorder="1" applyAlignment="1">
      <alignment vertical="top" wrapText="1"/>
    </xf>
    <xf numFmtId="0" fontId="12" fillId="0" borderId="4" xfId="12" applyFont="1" applyBorder="1" applyAlignment="1">
      <alignment vertical="top" wrapText="1"/>
    </xf>
    <xf numFmtId="0" fontId="12" fillId="0" borderId="6" xfId="12" applyFont="1" applyBorder="1" applyAlignment="1">
      <alignment wrapText="1"/>
    </xf>
    <xf numFmtId="0" fontId="12" fillId="0" borderId="4" xfId="12" applyFont="1" applyBorder="1" applyAlignment="1">
      <alignment wrapText="1"/>
    </xf>
    <xf numFmtId="0" fontId="12" fillId="0" borderId="6" xfId="12" applyFont="1" applyBorder="1" applyAlignment="1">
      <alignment horizontal="left" wrapText="1"/>
    </xf>
    <xf numFmtId="0" fontId="12" fillId="0" borderId="4" xfId="12" applyFont="1" applyBorder="1" applyAlignment="1">
      <alignment horizontal="left" wrapText="1"/>
    </xf>
    <xf numFmtId="0" fontId="12" fillId="0" borderId="6" xfId="14" applyFont="1" applyBorder="1" applyAlignment="1">
      <alignment wrapText="1"/>
    </xf>
    <xf numFmtId="0" fontId="12" fillId="0" borderId="4" xfId="14" applyFont="1" applyBorder="1" applyAlignment="1">
      <alignment wrapText="1"/>
    </xf>
    <xf numFmtId="0" fontId="12" fillId="0" borderId="6" xfId="14" applyFont="1" applyBorder="1" applyAlignment="1">
      <alignment vertical="top" wrapText="1"/>
    </xf>
    <xf numFmtId="0" fontId="12" fillId="0" borderId="4" xfId="14" applyFont="1" applyBorder="1" applyAlignment="1">
      <alignment vertical="top" wrapText="1"/>
    </xf>
    <xf numFmtId="0" fontId="12" fillId="0" borderId="6" xfId="14" applyFont="1" applyBorder="1" applyAlignment="1">
      <alignment horizontal="left" wrapText="1"/>
    </xf>
    <xf numFmtId="0" fontId="12" fillId="0" borderId="4" xfId="14" applyFont="1" applyBorder="1" applyAlignment="1">
      <alignment horizontal="left" wrapText="1"/>
    </xf>
    <xf numFmtId="0" fontId="61" fillId="0" borderId="20" xfId="0" applyFont="1" applyBorder="1" applyAlignment="1">
      <alignment horizontal="left" vertical="center" wrapText="1"/>
    </xf>
    <xf numFmtId="0" fontId="61" fillId="0" borderId="18" xfId="0" applyFont="1" applyBorder="1" applyAlignment="1">
      <alignment horizontal="left" vertical="center" wrapText="1"/>
    </xf>
    <xf numFmtId="0" fontId="59" fillId="9" borderId="25" xfId="0" applyFont="1" applyFill="1" applyBorder="1" applyAlignment="1">
      <alignment horizontal="center" vertical="center" wrapText="1"/>
    </xf>
    <xf numFmtId="0" fontId="59" fillId="9" borderId="17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26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10" fontId="12" fillId="0" borderId="25" xfId="0" applyNumberFormat="1" applyFont="1" applyBorder="1" applyAlignment="1">
      <alignment horizontal="justify" vertical="center" wrapText="1"/>
    </xf>
    <xf numFmtId="10" fontId="12" fillId="0" borderId="17" xfId="0" applyNumberFormat="1" applyFont="1" applyBorder="1" applyAlignment="1">
      <alignment horizontal="justify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0" fillId="0" borderId="26" xfId="0" applyBorder="1" applyAlignment="1">
      <alignment horizontal="justify" vertical="center" wrapText="1"/>
    </xf>
    <xf numFmtId="0" fontId="0" fillId="0" borderId="23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</cellXfs>
  <cellStyles count="1168">
    <cellStyle name="Dziesiętny" xfId="1" builtinId="3"/>
    <cellStyle name="Dziesiętny 10" xfId="149"/>
    <cellStyle name="Dziesiętny 10 2" xfId="532"/>
    <cellStyle name="Dziesiętny 10 3" xfId="913"/>
    <cellStyle name="Dziesiętny 11" xfId="277"/>
    <cellStyle name="Dziesiętny 11 2" xfId="659"/>
    <cellStyle name="Dziesiętny 11 3" xfId="1040"/>
    <cellStyle name="Dziesiętny 12" xfId="405"/>
    <cellStyle name="Dziesiętny 13" xfId="786"/>
    <cellStyle name="Dziesiętny 2" xfId="10"/>
    <cellStyle name="Dziesiętny 2 10" xfId="278"/>
    <cellStyle name="Dziesiętny 2 10 2" xfId="660"/>
    <cellStyle name="Dziesiętny 2 10 3" xfId="1041"/>
    <cellStyle name="Dziesiętny 2 11" xfId="406"/>
    <cellStyle name="Dziesiętny 2 12" xfId="787"/>
    <cellStyle name="Dziesiętny 2 2" xfId="15"/>
    <cellStyle name="Dziesiętny 2 2 10" xfId="789"/>
    <cellStyle name="Dziesiętny 2 2 2" xfId="22"/>
    <cellStyle name="Dziesiętny 2 2 2 10" xfId="795"/>
    <cellStyle name="Dziesiętny 2 2 2 2" xfId="33"/>
    <cellStyle name="Dziesiętny 2 2 2 2 2" xfId="55"/>
    <cellStyle name="Dziesiętny 2 2 2 2 2 2" xfId="99"/>
    <cellStyle name="Dziesiętny 2 2 2 2 2 2 2" xfId="229"/>
    <cellStyle name="Dziesiętny 2 2 2 2 2 2 2 2" xfId="612"/>
    <cellStyle name="Dziesiętny 2 2 2 2 2 2 2 3" xfId="993"/>
    <cellStyle name="Dziesiętny 2 2 2 2 2 2 3" xfId="357"/>
    <cellStyle name="Dziesiętny 2 2 2 2 2 2 3 2" xfId="739"/>
    <cellStyle name="Dziesiętny 2 2 2 2 2 2 3 3" xfId="1120"/>
    <cellStyle name="Dziesiętny 2 2 2 2 2 2 4" xfId="485"/>
    <cellStyle name="Dziesiętny 2 2 2 2 2 2 5" xfId="866"/>
    <cellStyle name="Dziesiętny 2 2 2 2 2 3" xfId="140"/>
    <cellStyle name="Dziesiętny 2 2 2 2 2 3 2" xfId="270"/>
    <cellStyle name="Dziesiętny 2 2 2 2 2 3 2 2" xfId="653"/>
    <cellStyle name="Dziesiętny 2 2 2 2 2 3 2 3" xfId="1034"/>
    <cellStyle name="Dziesiętny 2 2 2 2 2 3 3" xfId="398"/>
    <cellStyle name="Dziesiętny 2 2 2 2 2 3 3 2" xfId="780"/>
    <cellStyle name="Dziesiętny 2 2 2 2 2 3 3 3" xfId="1161"/>
    <cellStyle name="Dziesiętny 2 2 2 2 2 3 4" xfId="526"/>
    <cellStyle name="Dziesiętny 2 2 2 2 2 3 5" xfId="907"/>
    <cellStyle name="Dziesiętny 2 2 2 2 2 4" xfId="188"/>
    <cellStyle name="Dziesiętny 2 2 2 2 2 4 2" xfId="571"/>
    <cellStyle name="Dziesiętny 2 2 2 2 2 4 3" xfId="952"/>
    <cellStyle name="Dziesiętny 2 2 2 2 2 5" xfId="316"/>
    <cellStyle name="Dziesiętny 2 2 2 2 2 5 2" xfId="698"/>
    <cellStyle name="Dziesiętny 2 2 2 2 2 5 3" xfId="1079"/>
    <cellStyle name="Dziesiętny 2 2 2 2 2 6" xfId="444"/>
    <cellStyle name="Dziesiętny 2 2 2 2 2 7" xfId="825"/>
    <cellStyle name="Dziesiętny 2 2 2 2 3" xfId="79"/>
    <cellStyle name="Dziesiętny 2 2 2 2 3 2" xfId="209"/>
    <cellStyle name="Dziesiętny 2 2 2 2 3 2 2" xfId="592"/>
    <cellStyle name="Dziesiętny 2 2 2 2 3 2 3" xfId="973"/>
    <cellStyle name="Dziesiętny 2 2 2 2 3 3" xfId="337"/>
    <cellStyle name="Dziesiętny 2 2 2 2 3 3 2" xfId="719"/>
    <cellStyle name="Dziesiętny 2 2 2 2 3 3 3" xfId="1100"/>
    <cellStyle name="Dziesiętny 2 2 2 2 3 4" xfId="465"/>
    <cellStyle name="Dziesiętny 2 2 2 2 3 5" xfId="846"/>
    <cellStyle name="Dziesiętny 2 2 2 2 4" xfId="120"/>
    <cellStyle name="Dziesiętny 2 2 2 2 4 2" xfId="250"/>
    <cellStyle name="Dziesiętny 2 2 2 2 4 2 2" xfId="633"/>
    <cellStyle name="Dziesiętny 2 2 2 2 4 2 3" xfId="1014"/>
    <cellStyle name="Dziesiętny 2 2 2 2 4 3" xfId="378"/>
    <cellStyle name="Dziesiętny 2 2 2 2 4 3 2" xfId="760"/>
    <cellStyle name="Dziesiętny 2 2 2 2 4 3 3" xfId="1141"/>
    <cellStyle name="Dziesiętny 2 2 2 2 4 4" xfId="506"/>
    <cellStyle name="Dziesiętny 2 2 2 2 4 5" xfId="887"/>
    <cellStyle name="Dziesiętny 2 2 2 2 5" xfId="168"/>
    <cellStyle name="Dziesiętny 2 2 2 2 5 2" xfId="551"/>
    <cellStyle name="Dziesiętny 2 2 2 2 5 3" xfId="932"/>
    <cellStyle name="Dziesiętny 2 2 2 2 6" xfId="296"/>
    <cellStyle name="Dziesiętny 2 2 2 2 6 2" xfId="678"/>
    <cellStyle name="Dziesiętny 2 2 2 2 6 3" xfId="1059"/>
    <cellStyle name="Dziesiętny 2 2 2 2 7" xfId="424"/>
    <cellStyle name="Dziesiętny 2 2 2 2 8" xfId="805"/>
    <cellStyle name="Dziesiętny 2 2 2 3" xfId="44"/>
    <cellStyle name="Dziesiętny 2 2 2 3 2" xfId="89"/>
    <cellStyle name="Dziesiętny 2 2 2 3 2 2" xfId="219"/>
    <cellStyle name="Dziesiętny 2 2 2 3 2 2 2" xfId="602"/>
    <cellStyle name="Dziesiętny 2 2 2 3 2 2 3" xfId="983"/>
    <cellStyle name="Dziesiętny 2 2 2 3 2 3" xfId="347"/>
    <cellStyle name="Dziesiętny 2 2 2 3 2 3 2" xfId="729"/>
    <cellStyle name="Dziesiętny 2 2 2 3 2 3 3" xfId="1110"/>
    <cellStyle name="Dziesiętny 2 2 2 3 2 4" xfId="475"/>
    <cellStyle name="Dziesiętny 2 2 2 3 2 5" xfId="856"/>
    <cellStyle name="Dziesiętny 2 2 2 3 3" xfId="130"/>
    <cellStyle name="Dziesiętny 2 2 2 3 3 2" xfId="260"/>
    <cellStyle name="Dziesiętny 2 2 2 3 3 2 2" xfId="643"/>
    <cellStyle name="Dziesiętny 2 2 2 3 3 2 3" xfId="1024"/>
    <cellStyle name="Dziesiętny 2 2 2 3 3 3" xfId="388"/>
    <cellStyle name="Dziesiętny 2 2 2 3 3 3 2" xfId="770"/>
    <cellStyle name="Dziesiętny 2 2 2 3 3 3 3" xfId="1151"/>
    <cellStyle name="Dziesiętny 2 2 2 3 3 4" xfId="516"/>
    <cellStyle name="Dziesiętny 2 2 2 3 3 5" xfId="897"/>
    <cellStyle name="Dziesiętny 2 2 2 3 4" xfId="178"/>
    <cellStyle name="Dziesiętny 2 2 2 3 4 2" xfId="561"/>
    <cellStyle name="Dziesiętny 2 2 2 3 4 3" xfId="942"/>
    <cellStyle name="Dziesiętny 2 2 2 3 5" xfId="306"/>
    <cellStyle name="Dziesiętny 2 2 2 3 5 2" xfId="688"/>
    <cellStyle name="Dziesiętny 2 2 2 3 5 3" xfId="1069"/>
    <cellStyle name="Dziesiętny 2 2 2 3 6" xfId="434"/>
    <cellStyle name="Dziesiętny 2 2 2 3 7" xfId="815"/>
    <cellStyle name="Dziesiętny 2 2 2 4" xfId="69"/>
    <cellStyle name="Dziesiętny 2 2 2 4 2" xfId="199"/>
    <cellStyle name="Dziesiętny 2 2 2 4 2 2" xfId="582"/>
    <cellStyle name="Dziesiętny 2 2 2 4 2 3" xfId="963"/>
    <cellStyle name="Dziesiętny 2 2 2 4 3" xfId="327"/>
    <cellStyle name="Dziesiętny 2 2 2 4 3 2" xfId="709"/>
    <cellStyle name="Dziesiętny 2 2 2 4 3 3" xfId="1090"/>
    <cellStyle name="Dziesiętny 2 2 2 4 4" xfId="455"/>
    <cellStyle name="Dziesiętny 2 2 2 4 5" xfId="836"/>
    <cellStyle name="Dziesiętny 2 2 2 5" xfId="110"/>
    <cellStyle name="Dziesiętny 2 2 2 5 2" xfId="240"/>
    <cellStyle name="Dziesiętny 2 2 2 5 2 2" xfId="623"/>
    <cellStyle name="Dziesiętny 2 2 2 5 2 3" xfId="1004"/>
    <cellStyle name="Dziesiętny 2 2 2 5 3" xfId="368"/>
    <cellStyle name="Dziesiętny 2 2 2 5 3 2" xfId="750"/>
    <cellStyle name="Dziesiętny 2 2 2 5 3 3" xfId="1131"/>
    <cellStyle name="Dziesiętny 2 2 2 5 4" xfId="496"/>
    <cellStyle name="Dziesiętny 2 2 2 5 5" xfId="877"/>
    <cellStyle name="Dziesiętny 2 2 2 6" xfId="158"/>
    <cellStyle name="Dziesiętny 2 2 2 6 2" xfId="541"/>
    <cellStyle name="Dziesiętny 2 2 2 6 3" xfId="922"/>
    <cellStyle name="Dziesiętny 2 2 2 7" xfId="286"/>
    <cellStyle name="Dziesiętny 2 2 2 7 2" xfId="668"/>
    <cellStyle name="Dziesiętny 2 2 2 7 3" xfId="1049"/>
    <cellStyle name="Dziesiętny 2 2 2 8" xfId="404"/>
    <cellStyle name="Dziesiętny 2 2 2 8 2" xfId="1167"/>
    <cellStyle name="Dziesiętny 2 2 2 9" xfId="414"/>
    <cellStyle name="Dziesiętny 2 2 3" xfId="27"/>
    <cellStyle name="Dziesiętny 2 2 3 2" xfId="49"/>
    <cellStyle name="Dziesiętny 2 2 3 2 2" xfId="93"/>
    <cellStyle name="Dziesiętny 2 2 3 2 2 2" xfId="223"/>
    <cellStyle name="Dziesiętny 2 2 3 2 2 2 2" xfId="606"/>
    <cellStyle name="Dziesiętny 2 2 3 2 2 2 3" xfId="987"/>
    <cellStyle name="Dziesiętny 2 2 3 2 2 3" xfId="351"/>
    <cellStyle name="Dziesiętny 2 2 3 2 2 3 2" xfId="733"/>
    <cellStyle name="Dziesiętny 2 2 3 2 2 3 3" xfId="1114"/>
    <cellStyle name="Dziesiętny 2 2 3 2 2 4" xfId="479"/>
    <cellStyle name="Dziesiętny 2 2 3 2 2 5" xfId="860"/>
    <cellStyle name="Dziesiętny 2 2 3 2 3" xfId="134"/>
    <cellStyle name="Dziesiętny 2 2 3 2 3 2" xfId="264"/>
    <cellStyle name="Dziesiętny 2 2 3 2 3 2 2" xfId="647"/>
    <cellStyle name="Dziesiętny 2 2 3 2 3 2 3" xfId="1028"/>
    <cellStyle name="Dziesiętny 2 2 3 2 3 3" xfId="392"/>
    <cellStyle name="Dziesiętny 2 2 3 2 3 3 2" xfId="774"/>
    <cellStyle name="Dziesiętny 2 2 3 2 3 3 3" xfId="1155"/>
    <cellStyle name="Dziesiętny 2 2 3 2 3 4" xfId="520"/>
    <cellStyle name="Dziesiętny 2 2 3 2 3 5" xfId="901"/>
    <cellStyle name="Dziesiętny 2 2 3 2 4" xfId="182"/>
    <cellStyle name="Dziesiętny 2 2 3 2 4 2" xfId="565"/>
    <cellStyle name="Dziesiętny 2 2 3 2 4 3" xfId="946"/>
    <cellStyle name="Dziesiętny 2 2 3 2 5" xfId="310"/>
    <cellStyle name="Dziesiętny 2 2 3 2 5 2" xfId="692"/>
    <cellStyle name="Dziesiętny 2 2 3 2 5 3" xfId="1073"/>
    <cellStyle name="Dziesiętny 2 2 3 2 6" xfId="438"/>
    <cellStyle name="Dziesiętny 2 2 3 2 7" xfId="819"/>
    <cellStyle name="Dziesiętny 2 2 3 3" xfId="73"/>
    <cellStyle name="Dziesiętny 2 2 3 3 2" xfId="203"/>
    <cellStyle name="Dziesiętny 2 2 3 3 2 2" xfId="586"/>
    <cellStyle name="Dziesiętny 2 2 3 3 2 3" xfId="967"/>
    <cellStyle name="Dziesiętny 2 2 3 3 3" xfId="331"/>
    <cellStyle name="Dziesiętny 2 2 3 3 3 2" xfId="713"/>
    <cellStyle name="Dziesiętny 2 2 3 3 3 3" xfId="1094"/>
    <cellStyle name="Dziesiętny 2 2 3 3 4" xfId="459"/>
    <cellStyle name="Dziesiętny 2 2 3 3 5" xfId="840"/>
    <cellStyle name="Dziesiętny 2 2 3 4" xfId="114"/>
    <cellStyle name="Dziesiętny 2 2 3 4 2" xfId="244"/>
    <cellStyle name="Dziesiętny 2 2 3 4 2 2" xfId="627"/>
    <cellStyle name="Dziesiętny 2 2 3 4 2 3" xfId="1008"/>
    <cellStyle name="Dziesiętny 2 2 3 4 3" xfId="372"/>
    <cellStyle name="Dziesiętny 2 2 3 4 3 2" xfId="754"/>
    <cellStyle name="Dziesiętny 2 2 3 4 3 3" xfId="1135"/>
    <cellStyle name="Dziesiętny 2 2 3 4 4" xfId="500"/>
    <cellStyle name="Dziesiętny 2 2 3 4 5" xfId="881"/>
    <cellStyle name="Dziesiętny 2 2 3 5" xfId="162"/>
    <cellStyle name="Dziesiętny 2 2 3 5 2" xfId="545"/>
    <cellStyle name="Dziesiętny 2 2 3 5 3" xfId="926"/>
    <cellStyle name="Dziesiętny 2 2 3 6" xfId="290"/>
    <cellStyle name="Dziesiętny 2 2 3 6 2" xfId="672"/>
    <cellStyle name="Dziesiętny 2 2 3 6 3" xfId="1053"/>
    <cellStyle name="Dziesiętny 2 2 3 7" xfId="418"/>
    <cellStyle name="Dziesiętny 2 2 3 8" xfId="799"/>
    <cellStyle name="Dziesiętny 2 2 4" xfId="38"/>
    <cellStyle name="Dziesiętny 2 2 4 2" xfId="83"/>
    <cellStyle name="Dziesiętny 2 2 4 2 2" xfId="213"/>
    <cellStyle name="Dziesiętny 2 2 4 2 2 2" xfId="596"/>
    <cellStyle name="Dziesiętny 2 2 4 2 2 3" xfId="977"/>
    <cellStyle name="Dziesiętny 2 2 4 2 3" xfId="341"/>
    <cellStyle name="Dziesiętny 2 2 4 2 3 2" xfId="723"/>
    <cellStyle name="Dziesiętny 2 2 4 2 3 3" xfId="1104"/>
    <cellStyle name="Dziesiętny 2 2 4 2 4" xfId="469"/>
    <cellStyle name="Dziesiętny 2 2 4 2 5" xfId="850"/>
    <cellStyle name="Dziesiętny 2 2 4 3" xfId="124"/>
    <cellStyle name="Dziesiętny 2 2 4 3 2" xfId="254"/>
    <cellStyle name="Dziesiętny 2 2 4 3 2 2" xfId="637"/>
    <cellStyle name="Dziesiętny 2 2 4 3 2 3" xfId="1018"/>
    <cellStyle name="Dziesiętny 2 2 4 3 3" xfId="382"/>
    <cellStyle name="Dziesiętny 2 2 4 3 3 2" xfId="764"/>
    <cellStyle name="Dziesiętny 2 2 4 3 3 3" xfId="1145"/>
    <cellStyle name="Dziesiętny 2 2 4 3 4" xfId="510"/>
    <cellStyle name="Dziesiętny 2 2 4 3 5" xfId="891"/>
    <cellStyle name="Dziesiętny 2 2 4 4" xfId="172"/>
    <cellStyle name="Dziesiętny 2 2 4 4 2" xfId="555"/>
    <cellStyle name="Dziesiętny 2 2 4 4 3" xfId="936"/>
    <cellStyle name="Dziesiętny 2 2 4 5" xfId="300"/>
    <cellStyle name="Dziesiętny 2 2 4 5 2" xfId="682"/>
    <cellStyle name="Dziesiętny 2 2 4 5 3" xfId="1063"/>
    <cellStyle name="Dziesiętny 2 2 4 6" xfId="428"/>
    <cellStyle name="Dziesiętny 2 2 4 7" xfId="809"/>
    <cellStyle name="Dziesiętny 2 2 5" xfId="63"/>
    <cellStyle name="Dziesiętny 2 2 5 2" xfId="193"/>
    <cellStyle name="Dziesiętny 2 2 5 2 2" xfId="576"/>
    <cellStyle name="Dziesiętny 2 2 5 2 3" xfId="957"/>
    <cellStyle name="Dziesiętny 2 2 5 3" xfId="321"/>
    <cellStyle name="Dziesiętny 2 2 5 3 2" xfId="703"/>
    <cellStyle name="Dziesiętny 2 2 5 3 3" xfId="1084"/>
    <cellStyle name="Dziesiętny 2 2 5 4" xfId="449"/>
    <cellStyle name="Dziesiętny 2 2 5 5" xfId="830"/>
    <cellStyle name="Dziesiętny 2 2 6" xfId="104"/>
    <cellStyle name="Dziesiętny 2 2 6 2" xfId="234"/>
    <cellStyle name="Dziesiętny 2 2 6 2 2" xfId="617"/>
    <cellStyle name="Dziesiętny 2 2 6 2 3" xfId="998"/>
    <cellStyle name="Dziesiętny 2 2 6 3" xfId="362"/>
    <cellStyle name="Dziesiętny 2 2 6 3 2" xfId="744"/>
    <cellStyle name="Dziesiętny 2 2 6 3 3" xfId="1125"/>
    <cellStyle name="Dziesiętny 2 2 6 4" xfId="490"/>
    <cellStyle name="Dziesiętny 2 2 6 5" xfId="871"/>
    <cellStyle name="Dziesiętny 2 2 7" xfId="152"/>
    <cellStyle name="Dziesiętny 2 2 7 2" xfId="535"/>
    <cellStyle name="Dziesiętny 2 2 7 3" xfId="916"/>
    <cellStyle name="Dziesiętny 2 2 8" xfId="280"/>
    <cellStyle name="Dziesiętny 2 2 8 2" xfId="662"/>
    <cellStyle name="Dziesiętny 2 2 8 3" xfId="1043"/>
    <cellStyle name="Dziesiętny 2 2 9" xfId="408"/>
    <cellStyle name="Dziesiętny 2 3" xfId="19"/>
    <cellStyle name="Dziesiętny 2 3 2" xfId="30"/>
    <cellStyle name="Dziesiętny 2 3 2 2" xfId="52"/>
    <cellStyle name="Dziesiętny 2 3 2 2 2" xfId="96"/>
    <cellStyle name="Dziesiętny 2 3 2 2 2 2" xfId="226"/>
    <cellStyle name="Dziesiętny 2 3 2 2 2 2 2" xfId="609"/>
    <cellStyle name="Dziesiętny 2 3 2 2 2 2 3" xfId="990"/>
    <cellStyle name="Dziesiętny 2 3 2 2 2 3" xfId="354"/>
    <cellStyle name="Dziesiętny 2 3 2 2 2 3 2" xfId="736"/>
    <cellStyle name="Dziesiętny 2 3 2 2 2 3 3" xfId="1117"/>
    <cellStyle name="Dziesiętny 2 3 2 2 2 4" xfId="482"/>
    <cellStyle name="Dziesiętny 2 3 2 2 2 5" xfId="863"/>
    <cellStyle name="Dziesiętny 2 3 2 2 3" xfId="137"/>
    <cellStyle name="Dziesiętny 2 3 2 2 3 2" xfId="267"/>
    <cellStyle name="Dziesiętny 2 3 2 2 3 2 2" xfId="650"/>
    <cellStyle name="Dziesiętny 2 3 2 2 3 2 3" xfId="1031"/>
    <cellStyle name="Dziesiętny 2 3 2 2 3 3" xfId="395"/>
    <cellStyle name="Dziesiętny 2 3 2 2 3 3 2" xfId="777"/>
    <cellStyle name="Dziesiętny 2 3 2 2 3 3 3" xfId="1158"/>
    <cellStyle name="Dziesiętny 2 3 2 2 3 4" xfId="523"/>
    <cellStyle name="Dziesiętny 2 3 2 2 3 5" xfId="904"/>
    <cellStyle name="Dziesiętny 2 3 2 2 4" xfId="185"/>
    <cellStyle name="Dziesiętny 2 3 2 2 4 2" xfId="568"/>
    <cellStyle name="Dziesiętny 2 3 2 2 4 3" xfId="949"/>
    <cellStyle name="Dziesiętny 2 3 2 2 5" xfId="313"/>
    <cellStyle name="Dziesiętny 2 3 2 2 5 2" xfId="695"/>
    <cellStyle name="Dziesiętny 2 3 2 2 5 3" xfId="1076"/>
    <cellStyle name="Dziesiętny 2 3 2 2 6" xfId="441"/>
    <cellStyle name="Dziesiętny 2 3 2 2 7" xfId="822"/>
    <cellStyle name="Dziesiętny 2 3 2 3" xfId="76"/>
    <cellStyle name="Dziesiętny 2 3 2 3 2" xfId="206"/>
    <cellStyle name="Dziesiętny 2 3 2 3 2 2" xfId="589"/>
    <cellStyle name="Dziesiętny 2 3 2 3 2 3" xfId="970"/>
    <cellStyle name="Dziesiętny 2 3 2 3 3" xfId="334"/>
    <cellStyle name="Dziesiętny 2 3 2 3 3 2" xfId="716"/>
    <cellStyle name="Dziesiętny 2 3 2 3 3 3" xfId="1097"/>
    <cellStyle name="Dziesiętny 2 3 2 3 4" xfId="462"/>
    <cellStyle name="Dziesiętny 2 3 2 3 5" xfId="843"/>
    <cellStyle name="Dziesiętny 2 3 2 4" xfId="117"/>
    <cellStyle name="Dziesiętny 2 3 2 4 2" xfId="247"/>
    <cellStyle name="Dziesiętny 2 3 2 4 2 2" xfId="630"/>
    <cellStyle name="Dziesiętny 2 3 2 4 2 3" xfId="1011"/>
    <cellStyle name="Dziesiętny 2 3 2 4 3" xfId="375"/>
    <cellStyle name="Dziesiętny 2 3 2 4 3 2" xfId="757"/>
    <cellStyle name="Dziesiętny 2 3 2 4 3 3" xfId="1138"/>
    <cellStyle name="Dziesiętny 2 3 2 4 4" xfId="503"/>
    <cellStyle name="Dziesiętny 2 3 2 4 5" xfId="884"/>
    <cellStyle name="Dziesiętny 2 3 2 5" xfId="165"/>
    <cellStyle name="Dziesiętny 2 3 2 5 2" xfId="548"/>
    <cellStyle name="Dziesiętny 2 3 2 5 3" xfId="929"/>
    <cellStyle name="Dziesiętny 2 3 2 6" xfId="293"/>
    <cellStyle name="Dziesiętny 2 3 2 6 2" xfId="675"/>
    <cellStyle name="Dziesiętny 2 3 2 6 3" xfId="1056"/>
    <cellStyle name="Dziesiętny 2 3 2 7" xfId="421"/>
    <cellStyle name="Dziesiętny 2 3 2 8" xfId="802"/>
    <cellStyle name="Dziesiętny 2 3 3" xfId="41"/>
    <cellStyle name="Dziesiętny 2 3 3 2" xfId="86"/>
    <cellStyle name="Dziesiętny 2 3 3 2 2" xfId="216"/>
    <cellStyle name="Dziesiętny 2 3 3 2 2 2" xfId="599"/>
    <cellStyle name="Dziesiętny 2 3 3 2 2 3" xfId="980"/>
    <cellStyle name="Dziesiętny 2 3 3 2 3" xfId="344"/>
    <cellStyle name="Dziesiętny 2 3 3 2 3 2" xfId="726"/>
    <cellStyle name="Dziesiętny 2 3 3 2 3 3" xfId="1107"/>
    <cellStyle name="Dziesiętny 2 3 3 2 4" xfId="472"/>
    <cellStyle name="Dziesiętny 2 3 3 2 5" xfId="853"/>
    <cellStyle name="Dziesiętny 2 3 3 3" xfId="127"/>
    <cellStyle name="Dziesiętny 2 3 3 3 2" xfId="257"/>
    <cellStyle name="Dziesiętny 2 3 3 3 2 2" xfId="640"/>
    <cellStyle name="Dziesiętny 2 3 3 3 2 3" xfId="1021"/>
    <cellStyle name="Dziesiętny 2 3 3 3 3" xfId="385"/>
    <cellStyle name="Dziesiętny 2 3 3 3 3 2" xfId="767"/>
    <cellStyle name="Dziesiętny 2 3 3 3 3 3" xfId="1148"/>
    <cellStyle name="Dziesiętny 2 3 3 3 4" xfId="513"/>
    <cellStyle name="Dziesiętny 2 3 3 3 5" xfId="894"/>
    <cellStyle name="Dziesiętny 2 3 3 4" xfId="175"/>
    <cellStyle name="Dziesiętny 2 3 3 4 2" xfId="558"/>
    <cellStyle name="Dziesiętny 2 3 3 4 3" xfId="939"/>
    <cellStyle name="Dziesiętny 2 3 3 5" xfId="303"/>
    <cellStyle name="Dziesiętny 2 3 3 5 2" xfId="685"/>
    <cellStyle name="Dziesiętny 2 3 3 5 3" xfId="1066"/>
    <cellStyle name="Dziesiętny 2 3 3 6" xfId="431"/>
    <cellStyle name="Dziesiętny 2 3 3 7" xfId="812"/>
    <cellStyle name="Dziesiętny 2 3 4" xfId="66"/>
    <cellStyle name="Dziesiętny 2 3 4 2" xfId="196"/>
    <cellStyle name="Dziesiętny 2 3 4 2 2" xfId="579"/>
    <cellStyle name="Dziesiętny 2 3 4 2 3" xfId="960"/>
    <cellStyle name="Dziesiętny 2 3 4 3" xfId="324"/>
    <cellStyle name="Dziesiętny 2 3 4 3 2" xfId="706"/>
    <cellStyle name="Dziesiętny 2 3 4 3 3" xfId="1087"/>
    <cellStyle name="Dziesiętny 2 3 4 4" xfId="452"/>
    <cellStyle name="Dziesiętny 2 3 4 5" xfId="833"/>
    <cellStyle name="Dziesiętny 2 3 5" xfId="107"/>
    <cellStyle name="Dziesiętny 2 3 5 2" xfId="237"/>
    <cellStyle name="Dziesiętny 2 3 5 2 2" xfId="620"/>
    <cellStyle name="Dziesiętny 2 3 5 2 3" xfId="1001"/>
    <cellStyle name="Dziesiętny 2 3 5 3" xfId="365"/>
    <cellStyle name="Dziesiętny 2 3 5 3 2" xfId="747"/>
    <cellStyle name="Dziesiętny 2 3 5 3 3" xfId="1128"/>
    <cellStyle name="Dziesiętny 2 3 5 4" xfId="493"/>
    <cellStyle name="Dziesiętny 2 3 5 5" xfId="874"/>
    <cellStyle name="Dziesiętny 2 3 6" xfId="155"/>
    <cellStyle name="Dziesiętny 2 3 6 2" xfId="538"/>
    <cellStyle name="Dziesiętny 2 3 6 3" xfId="919"/>
    <cellStyle name="Dziesiętny 2 3 7" xfId="283"/>
    <cellStyle name="Dziesiętny 2 3 7 2" xfId="665"/>
    <cellStyle name="Dziesiętny 2 3 7 3" xfId="1046"/>
    <cellStyle name="Dziesiętny 2 3 8" xfId="411"/>
    <cellStyle name="Dziesiętny 2 3 9" xfId="792"/>
    <cellStyle name="Dziesiętny 2 4" xfId="25"/>
    <cellStyle name="Dziesiętny 2 4 2" xfId="47"/>
    <cellStyle name="Dziesiętny 2 4 2 2" xfId="91"/>
    <cellStyle name="Dziesiętny 2 4 2 2 2" xfId="221"/>
    <cellStyle name="Dziesiętny 2 4 2 2 2 2" xfId="604"/>
    <cellStyle name="Dziesiętny 2 4 2 2 2 3" xfId="985"/>
    <cellStyle name="Dziesiętny 2 4 2 2 3" xfId="349"/>
    <cellStyle name="Dziesiętny 2 4 2 2 3 2" xfId="731"/>
    <cellStyle name="Dziesiętny 2 4 2 2 3 3" xfId="1112"/>
    <cellStyle name="Dziesiętny 2 4 2 2 4" xfId="477"/>
    <cellStyle name="Dziesiętny 2 4 2 2 5" xfId="858"/>
    <cellStyle name="Dziesiętny 2 4 2 3" xfId="132"/>
    <cellStyle name="Dziesiętny 2 4 2 3 2" xfId="262"/>
    <cellStyle name="Dziesiętny 2 4 2 3 2 2" xfId="645"/>
    <cellStyle name="Dziesiętny 2 4 2 3 2 3" xfId="1026"/>
    <cellStyle name="Dziesiętny 2 4 2 3 3" xfId="390"/>
    <cellStyle name="Dziesiętny 2 4 2 3 3 2" xfId="772"/>
    <cellStyle name="Dziesiętny 2 4 2 3 3 3" xfId="1153"/>
    <cellStyle name="Dziesiętny 2 4 2 3 4" xfId="518"/>
    <cellStyle name="Dziesiętny 2 4 2 3 5" xfId="899"/>
    <cellStyle name="Dziesiętny 2 4 2 4" xfId="180"/>
    <cellStyle name="Dziesiętny 2 4 2 4 2" xfId="563"/>
    <cellStyle name="Dziesiętny 2 4 2 4 3" xfId="944"/>
    <cellStyle name="Dziesiętny 2 4 2 5" xfId="308"/>
    <cellStyle name="Dziesiętny 2 4 2 5 2" xfId="690"/>
    <cellStyle name="Dziesiętny 2 4 2 5 3" xfId="1071"/>
    <cellStyle name="Dziesiętny 2 4 2 6" xfId="436"/>
    <cellStyle name="Dziesiętny 2 4 2 7" xfId="817"/>
    <cellStyle name="Dziesiętny 2 4 3" xfId="71"/>
    <cellStyle name="Dziesiętny 2 4 3 2" xfId="201"/>
    <cellStyle name="Dziesiętny 2 4 3 2 2" xfId="584"/>
    <cellStyle name="Dziesiętny 2 4 3 2 3" xfId="965"/>
    <cellStyle name="Dziesiętny 2 4 3 3" xfId="329"/>
    <cellStyle name="Dziesiętny 2 4 3 3 2" xfId="711"/>
    <cellStyle name="Dziesiętny 2 4 3 3 3" xfId="1092"/>
    <cellStyle name="Dziesiętny 2 4 3 4" xfId="457"/>
    <cellStyle name="Dziesiętny 2 4 3 5" xfId="838"/>
    <cellStyle name="Dziesiętny 2 4 4" xfId="112"/>
    <cellStyle name="Dziesiętny 2 4 4 2" xfId="242"/>
    <cellStyle name="Dziesiętny 2 4 4 2 2" xfId="625"/>
    <cellStyle name="Dziesiętny 2 4 4 2 3" xfId="1006"/>
    <cellStyle name="Dziesiętny 2 4 4 3" xfId="370"/>
    <cellStyle name="Dziesiętny 2 4 4 3 2" xfId="752"/>
    <cellStyle name="Dziesiętny 2 4 4 3 3" xfId="1133"/>
    <cellStyle name="Dziesiętny 2 4 4 4" xfId="498"/>
    <cellStyle name="Dziesiętny 2 4 4 5" xfId="879"/>
    <cellStyle name="Dziesiętny 2 4 5" xfId="160"/>
    <cellStyle name="Dziesiętny 2 4 5 2" xfId="543"/>
    <cellStyle name="Dziesiętny 2 4 5 3" xfId="924"/>
    <cellStyle name="Dziesiętny 2 4 6" xfId="288"/>
    <cellStyle name="Dziesiętny 2 4 6 2" xfId="670"/>
    <cellStyle name="Dziesiętny 2 4 6 3" xfId="1051"/>
    <cellStyle name="Dziesiętny 2 4 7" xfId="416"/>
    <cellStyle name="Dziesiętny 2 4 8" xfId="797"/>
    <cellStyle name="Dziesiętny 2 5" xfId="35"/>
    <cellStyle name="Dziesiętny 2 5 2" xfId="81"/>
    <cellStyle name="Dziesiętny 2 5 2 2" xfId="211"/>
    <cellStyle name="Dziesiętny 2 5 2 2 2" xfId="594"/>
    <cellStyle name="Dziesiętny 2 5 2 2 3" xfId="975"/>
    <cellStyle name="Dziesiętny 2 5 2 3" xfId="339"/>
    <cellStyle name="Dziesiętny 2 5 2 3 2" xfId="721"/>
    <cellStyle name="Dziesiętny 2 5 2 3 3" xfId="1102"/>
    <cellStyle name="Dziesiętny 2 5 2 4" xfId="467"/>
    <cellStyle name="Dziesiętny 2 5 2 5" xfId="848"/>
    <cellStyle name="Dziesiętny 2 5 3" xfId="122"/>
    <cellStyle name="Dziesiętny 2 5 3 2" xfId="252"/>
    <cellStyle name="Dziesiętny 2 5 3 2 2" xfId="635"/>
    <cellStyle name="Dziesiętny 2 5 3 2 3" xfId="1016"/>
    <cellStyle name="Dziesiętny 2 5 3 3" xfId="380"/>
    <cellStyle name="Dziesiętny 2 5 3 3 2" xfId="762"/>
    <cellStyle name="Dziesiętny 2 5 3 3 3" xfId="1143"/>
    <cellStyle name="Dziesiętny 2 5 3 4" xfId="508"/>
    <cellStyle name="Dziesiętny 2 5 3 5" xfId="889"/>
    <cellStyle name="Dziesiętny 2 5 4" xfId="170"/>
    <cellStyle name="Dziesiętny 2 5 4 2" xfId="553"/>
    <cellStyle name="Dziesiętny 2 5 4 3" xfId="934"/>
    <cellStyle name="Dziesiętny 2 5 5" xfId="298"/>
    <cellStyle name="Dziesiętny 2 5 5 2" xfId="680"/>
    <cellStyle name="Dziesiętny 2 5 5 3" xfId="1061"/>
    <cellStyle name="Dziesiętny 2 5 6" xfId="426"/>
    <cellStyle name="Dziesiętny 2 5 7" xfId="807"/>
    <cellStyle name="Dziesiętny 2 6" xfId="61"/>
    <cellStyle name="Dziesiętny 2 6 2" xfId="191"/>
    <cellStyle name="Dziesiętny 2 6 2 2" xfId="574"/>
    <cellStyle name="Dziesiętny 2 6 2 3" xfId="955"/>
    <cellStyle name="Dziesiętny 2 6 3" xfId="319"/>
    <cellStyle name="Dziesiętny 2 6 3 2" xfId="701"/>
    <cellStyle name="Dziesiętny 2 6 3 3" xfId="1082"/>
    <cellStyle name="Dziesiętny 2 6 4" xfId="447"/>
    <cellStyle name="Dziesiętny 2 6 5" xfId="828"/>
    <cellStyle name="Dziesiętny 2 7" xfId="102"/>
    <cellStyle name="Dziesiętny 2 7 2" xfId="232"/>
    <cellStyle name="Dziesiętny 2 7 2 2" xfId="615"/>
    <cellStyle name="Dziesiętny 2 7 2 3" xfId="996"/>
    <cellStyle name="Dziesiętny 2 7 3" xfId="360"/>
    <cellStyle name="Dziesiętny 2 7 3 2" xfId="742"/>
    <cellStyle name="Dziesiętny 2 7 3 3" xfId="1123"/>
    <cellStyle name="Dziesiętny 2 7 4" xfId="488"/>
    <cellStyle name="Dziesiętny 2 7 5" xfId="869"/>
    <cellStyle name="Dziesiętny 2 8" xfId="146"/>
    <cellStyle name="Dziesiętny 2 8 2" xfId="274"/>
    <cellStyle name="Dziesiętny 2 8 2 2" xfId="657"/>
    <cellStyle name="Dziesiętny 2 8 2 3" xfId="1038"/>
    <cellStyle name="Dziesiętny 2 8 3" xfId="402"/>
    <cellStyle name="Dziesiętny 2 8 3 2" xfId="784"/>
    <cellStyle name="Dziesiętny 2 8 3 3" xfId="1165"/>
    <cellStyle name="Dziesiętny 2 8 4" xfId="530"/>
    <cellStyle name="Dziesiętny 2 8 5" xfId="911"/>
    <cellStyle name="Dziesiętny 2 9" xfId="150"/>
    <cellStyle name="Dziesiętny 2 9 2" xfId="533"/>
    <cellStyle name="Dziesiętny 2 9 3" xfId="914"/>
    <cellStyle name="Dziesiętny 3" xfId="13"/>
    <cellStyle name="Dziesiętny 3 10" xfId="407"/>
    <cellStyle name="Dziesiętny 3 11" xfId="788"/>
    <cellStyle name="Dziesiętny 3 2" xfId="17"/>
    <cellStyle name="Dziesiętny 3 2 2" xfId="28"/>
    <cellStyle name="Dziesiętny 3 2 2 2" xfId="50"/>
    <cellStyle name="Dziesiętny 3 2 2 2 2" xfId="94"/>
    <cellStyle name="Dziesiętny 3 2 2 2 2 2" xfId="224"/>
    <cellStyle name="Dziesiętny 3 2 2 2 2 2 2" xfId="607"/>
    <cellStyle name="Dziesiętny 3 2 2 2 2 2 3" xfId="988"/>
    <cellStyle name="Dziesiętny 3 2 2 2 2 3" xfId="352"/>
    <cellStyle name="Dziesiętny 3 2 2 2 2 3 2" xfId="734"/>
    <cellStyle name="Dziesiętny 3 2 2 2 2 3 3" xfId="1115"/>
    <cellStyle name="Dziesiętny 3 2 2 2 2 4" xfId="480"/>
    <cellStyle name="Dziesiętny 3 2 2 2 2 5" xfId="861"/>
    <cellStyle name="Dziesiętny 3 2 2 2 3" xfId="135"/>
    <cellStyle name="Dziesiętny 3 2 2 2 3 2" xfId="265"/>
    <cellStyle name="Dziesiętny 3 2 2 2 3 2 2" xfId="648"/>
    <cellStyle name="Dziesiętny 3 2 2 2 3 2 3" xfId="1029"/>
    <cellStyle name="Dziesiętny 3 2 2 2 3 3" xfId="393"/>
    <cellStyle name="Dziesiętny 3 2 2 2 3 3 2" xfId="775"/>
    <cellStyle name="Dziesiętny 3 2 2 2 3 3 3" xfId="1156"/>
    <cellStyle name="Dziesiętny 3 2 2 2 3 4" xfId="521"/>
    <cellStyle name="Dziesiętny 3 2 2 2 3 5" xfId="902"/>
    <cellStyle name="Dziesiętny 3 2 2 2 4" xfId="183"/>
    <cellStyle name="Dziesiętny 3 2 2 2 4 2" xfId="566"/>
    <cellStyle name="Dziesiętny 3 2 2 2 4 3" xfId="947"/>
    <cellStyle name="Dziesiętny 3 2 2 2 5" xfId="311"/>
    <cellStyle name="Dziesiętny 3 2 2 2 5 2" xfId="693"/>
    <cellStyle name="Dziesiętny 3 2 2 2 5 3" xfId="1074"/>
    <cellStyle name="Dziesiętny 3 2 2 2 6" xfId="439"/>
    <cellStyle name="Dziesiętny 3 2 2 2 7" xfId="820"/>
    <cellStyle name="Dziesiętny 3 2 2 3" xfId="74"/>
    <cellStyle name="Dziesiętny 3 2 2 3 2" xfId="204"/>
    <cellStyle name="Dziesiętny 3 2 2 3 2 2" xfId="587"/>
    <cellStyle name="Dziesiętny 3 2 2 3 2 3" xfId="968"/>
    <cellStyle name="Dziesiętny 3 2 2 3 3" xfId="332"/>
    <cellStyle name="Dziesiętny 3 2 2 3 3 2" xfId="714"/>
    <cellStyle name="Dziesiętny 3 2 2 3 3 3" xfId="1095"/>
    <cellStyle name="Dziesiętny 3 2 2 3 4" xfId="460"/>
    <cellStyle name="Dziesiętny 3 2 2 3 5" xfId="841"/>
    <cellStyle name="Dziesiętny 3 2 2 4" xfId="115"/>
    <cellStyle name="Dziesiętny 3 2 2 4 2" xfId="245"/>
    <cellStyle name="Dziesiętny 3 2 2 4 2 2" xfId="628"/>
    <cellStyle name="Dziesiętny 3 2 2 4 2 3" xfId="1009"/>
    <cellStyle name="Dziesiętny 3 2 2 4 3" xfId="373"/>
    <cellStyle name="Dziesiętny 3 2 2 4 3 2" xfId="755"/>
    <cellStyle name="Dziesiętny 3 2 2 4 3 3" xfId="1136"/>
    <cellStyle name="Dziesiętny 3 2 2 4 4" xfId="501"/>
    <cellStyle name="Dziesiętny 3 2 2 4 5" xfId="882"/>
    <cellStyle name="Dziesiętny 3 2 2 5" xfId="163"/>
    <cellStyle name="Dziesiętny 3 2 2 5 2" xfId="546"/>
    <cellStyle name="Dziesiętny 3 2 2 5 3" xfId="927"/>
    <cellStyle name="Dziesiętny 3 2 2 6" xfId="291"/>
    <cellStyle name="Dziesiętny 3 2 2 6 2" xfId="673"/>
    <cellStyle name="Dziesiętny 3 2 2 6 3" xfId="1054"/>
    <cellStyle name="Dziesiętny 3 2 2 7" xfId="419"/>
    <cellStyle name="Dziesiętny 3 2 2 8" xfId="800"/>
    <cellStyle name="Dziesiętny 3 2 3" xfId="39"/>
    <cellStyle name="Dziesiętny 3 2 3 2" xfId="84"/>
    <cellStyle name="Dziesiętny 3 2 3 2 2" xfId="214"/>
    <cellStyle name="Dziesiętny 3 2 3 2 2 2" xfId="597"/>
    <cellStyle name="Dziesiętny 3 2 3 2 2 3" xfId="978"/>
    <cellStyle name="Dziesiętny 3 2 3 2 3" xfId="342"/>
    <cellStyle name="Dziesiętny 3 2 3 2 3 2" xfId="724"/>
    <cellStyle name="Dziesiętny 3 2 3 2 3 3" xfId="1105"/>
    <cellStyle name="Dziesiętny 3 2 3 2 4" xfId="470"/>
    <cellStyle name="Dziesiętny 3 2 3 2 5" xfId="851"/>
    <cellStyle name="Dziesiętny 3 2 3 3" xfId="125"/>
    <cellStyle name="Dziesiętny 3 2 3 3 2" xfId="255"/>
    <cellStyle name="Dziesiętny 3 2 3 3 2 2" xfId="638"/>
    <cellStyle name="Dziesiętny 3 2 3 3 2 3" xfId="1019"/>
    <cellStyle name="Dziesiętny 3 2 3 3 3" xfId="383"/>
    <cellStyle name="Dziesiętny 3 2 3 3 3 2" xfId="765"/>
    <cellStyle name="Dziesiętny 3 2 3 3 3 3" xfId="1146"/>
    <cellStyle name="Dziesiętny 3 2 3 3 4" xfId="511"/>
    <cellStyle name="Dziesiętny 3 2 3 3 5" xfId="892"/>
    <cellStyle name="Dziesiętny 3 2 3 4" xfId="173"/>
    <cellStyle name="Dziesiętny 3 2 3 4 2" xfId="556"/>
    <cellStyle name="Dziesiętny 3 2 3 4 3" xfId="937"/>
    <cellStyle name="Dziesiętny 3 2 3 5" xfId="301"/>
    <cellStyle name="Dziesiętny 3 2 3 5 2" xfId="683"/>
    <cellStyle name="Dziesiętny 3 2 3 5 3" xfId="1064"/>
    <cellStyle name="Dziesiętny 3 2 3 6" xfId="429"/>
    <cellStyle name="Dziesiętny 3 2 3 7" xfId="810"/>
    <cellStyle name="Dziesiętny 3 2 4" xfId="64"/>
    <cellStyle name="Dziesiętny 3 2 4 2" xfId="194"/>
    <cellStyle name="Dziesiętny 3 2 4 2 2" xfId="577"/>
    <cellStyle name="Dziesiętny 3 2 4 2 3" xfId="958"/>
    <cellStyle name="Dziesiętny 3 2 4 3" xfId="322"/>
    <cellStyle name="Dziesiętny 3 2 4 3 2" xfId="704"/>
    <cellStyle name="Dziesiętny 3 2 4 3 3" xfId="1085"/>
    <cellStyle name="Dziesiętny 3 2 4 4" xfId="450"/>
    <cellStyle name="Dziesiętny 3 2 4 5" xfId="831"/>
    <cellStyle name="Dziesiętny 3 2 5" xfId="105"/>
    <cellStyle name="Dziesiętny 3 2 5 2" xfId="235"/>
    <cellStyle name="Dziesiętny 3 2 5 2 2" xfId="618"/>
    <cellStyle name="Dziesiętny 3 2 5 2 3" xfId="999"/>
    <cellStyle name="Dziesiętny 3 2 5 3" xfId="363"/>
    <cellStyle name="Dziesiętny 3 2 5 3 2" xfId="745"/>
    <cellStyle name="Dziesiętny 3 2 5 3 3" xfId="1126"/>
    <cellStyle name="Dziesiętny 3 2 5 4" xfId="491"/>
    <cellStyle name="Dziesiętny 3 2 5 5" xfId="872"/>
    <cellStyle name="Dziesiętny 3 2 6" xfId="153"/>
    <cellStyle name="Dziesiętny 3 2 6 2" xfId="536"/>
    <cellStyle name="Dziesiętny 3 2 6 3" xfId="917"/>
    <cellStyle name="Dziesiętny 3 2 7" xfId="281"/>
    <cellStyle name="Dziesiętny 3 2 7 2" xfId="663"/>
    <cellStyle name="Dziesiętny 3 2 7 3" xfId="1044"/>
    <cellStyle name="Dziesiętny 3 2 8" xfId="409"/>
    <cellStyle name="Dziesiętny 3 2 9" xfId="790"/>
    <cellStyle name="Dziesiętny 3 3" xfId="20"/>
    <cellStyle name="Dziesiętny 3 3 2" xfId="31"/>
    <cellStyle name="Dziesiętny 3 3 2 2" xfId="53"/>
    <cellStyle name="Dziesiętny 3 3 2 2 2" xfId="97"/>
    <cellStyle name="Dziesiętny 3 3 2 2 2 2" xfId="227"/>
    <cellStyle name="Dziesiętny 3 3 2 2 2 2 2" xfId="610"/>
    <cellStyle name="Dziesiętny 3 3 2 2 2 2 3" xfId="991"/>
    <cellStyle name="Dziesiętny 3 3 2 2 2 3" xfId="355"/>
    <cellStyle name="Dziesiętny 3 3 2 2 2 3 2" xfId="737"/>
    <cellStyle name="Dziesiętny 3 3 2 2 2 3 3" xfId="1118"/>
    <cellStyle name="Dziesiętny 3 3 2 2 2 4" xfId="483"/>
    <cellStyle name="Dziesiętny 3 3 2 2 2 5" xfId="864"/>
    <cellStyle name="Dziesiętny 3 3 2 2 3" xfId="138"/>
    <cellStyle name="Dziesiętny 3 3 2 2 3 2" xfId="268"/>
    <cellStyle name="Dziesiętny 3 3 2 2 3 2 2" xfId="651"/>
    <cellStyle name="Dziesiętny 3 3 2 2 3 2 3" xfId="1032"/>
    <cellStyle name="Dziesiętny 3 3 2 2 3 3" xfId="396"/>
    <cellStyle name="Dziesiętny 3 3 2 2 3 3 2" xfId="778"/>
    <cellStyle name="Dziesiętny 3 3 2 2 3 3 3" xfId="1159"/>
    <cellStyle name="Dziesiętny 3 3 2 2 3 4" xfId="524"/>
    <cellStyle name="Dziesiętny 3 3 2 2 3 5" xfId="905"/>
    <cellStyle name="Dziesiętny 3 3 2 2 4" xfId="186"/>
    <cellStyle name="Dziesiętny 3 3 2 2 4 2" xfId="569"/>
    <cellStyle name="Dziesiętny 3 3 2 2 4 3" xfId="950"/>
    <cellStyle name="Dziesiętny 3 3 2 2 5" xfId="314"/>
    <cellStyle name="Dziesiętny 3 3 2 2 5 2" xfId="696"/>
    <cellStyle name="Dziesiętny 3 3 2 2 5 3" xfId="1077"/>
    <cellStyle name="Dziesiętny 3 3 2 2 6" xfId="442"/>
    <cellStyle name="Dziesiętny 3 3 2 2 7" xfId="823"/>
    <cellStyle name="Dziesiętny 3 3 2 3" xfId="77"/>
    <cellStyle name="Dziesiętny 3 3 2 3 2" xfId="207"/>
    <cellStyle name="Dziesiętny 3 3 2 3 2 2" xfId="590"/>
    <cellStyle name="Dziesiętny 3 3 2 3 2 3" xfId="971"/>
    <cellStyle name="Dziesiętny 3 3 2 3 3" xfId="335"/>
    <cellStyle name="Dziesiętny 3 3 2 3 3 2" xfId="717"/>
    <cellStyle name="Dziesiętny 3 3 2 3 3 3" xfId="1098"/>
    <cellStyle name="Dziesiętny 3 3 2 3 4" xfId="463"/>
    <cellStyle name="Dziesiętny 3 3 2 3 5" xfId="844"/>
    <cellStyle name="Dziesiętny 3 3 2 4" xfId="118"/>
    <cellStyle name="Dziesiętny 3 3 2 4 2" xfId="248"/>
    <cellStyle name="Dziesiętny 3 3 2 4 2 2" xfId="631"/>
    <cellStyle name="Dziesiętny 3 3 2 4 2 3" xfId="1012"/>
    <cellStyle name="Dziesiętny 3 3 2 4 3" xfId="376"/>
    <cellStyle name="Dziesiętny 3 3 2 4 3 2" xfId="758"/>
    <cellStyle name="Dziesiętny 3 3 2 4 3 3" xfId="1139"/>
    <cellStyle name="Dziesiętny 3 3 2 4 4" xfId="504"/>
    <cellStyle name="Dziesiętny 3 3 2 4 5" xfId="885"/>
    <cellStyle name="Dziesiętny 3 3 2 5" xfId="166"/>
    <cellStyle name="Dziesiętny 3 3 2 5 2" xfId="549"/>
    <cellStyle name="Dziesiętny 3 3 2 5 3" xfId="930"/>
    <cellStyle name="Dziesiętny 3 3 2 6" xfId="294"/>
    <cellStyle name="Dziesiętny 3 3 2 6 2" xfId="676"/>
    <cellStyle name="Dziesiętny 3 3 2 6 3" xfId="1057"/>
    <cellStyle name="Dziesiętny 3 3 2 7" xfId="422"/>
    <cellStyle name="Dziesiętny 3 3 2 8" xfId="803"/>
    <cellStyle name="Dziesiętny 3 3 3" xfId="42"/>
    <cellStyle name="Dziesiętny 3 3 3 2" xfId="87"/>
    <cellStyle name="Dziesiętny 3 3 3 2 2" xfId="217"/>
    <cellStyle name="Dziesiętny 3 3 3 2 2 2" xfId="600"/>
    <cellStyle name="Dziesiętny 3 3 3 2 2 3" xfId="981"/>
    <cellStyle name="Dziesiętny 3 3 3 2 3" xfId="345"/>
    <cellStyle name="Dziesiętny 3 3 3 2 3 2" xfId="727"/>
    <cellStyle name="Dziesiętny 3 3 3 2 3 3" xfId="1108"/>
    <cellStyle name="Dziesiętny 3 3 3 2 4" xfId="473"/>
    <cellStyle name="Dziesiętny 3 3 3 2 5" xfId="854"/>
    <cellStyle name="Dziesiętny 3 3 3 3" xfId="128"/>
    <cellStyle name="Dziesiętny 3 3 3 3 2" xfId="258"/>
    <cellStyle name="Dziesiętny 3 3 3 3 2 2" xfId="641"/>
    <cellStyle name="Dziesiętny 3 3 3 3 2 3" xfId="1022"/>
    <cellStyle name="Dziesiętny 3 3 3 3 3" xfId="386"/>
    <cellStyle name="Dziesiętny 3 3 3 3 3 2" xfId="768"/>
    <cellStyle name="Dziesiętny 3 3 3 3 3 3" xfId="1149"/>
    <cellStyle name="Dziesiętny 3 3 3 3 4" xfId="514"/>
    <cellStyle name="Dziesiętny 3 3 3 3 5" xfId="895"/>
    <cellStyle name="Dziesiętny 3 3 3 4" xfId="176"/>
    <cellStyle name="Dziesiętny 3 3 3 4 2" xfId="559"/>
    <cellStyle name="Dziesiętny 3 3 3 4 3" xfId="940"/>
    <cellStyle name="Dziesiętny 3 3 3 5" xfId="304"/>
    <cellStyle name="Dziesiętny 3 3 3 5 2" xfId="686"/>
    <cellStyle name="Dziesiętny 3 3 3 5 3" xfId="1067"/>
    <cellStyle name="Dziesiętny 3 3 3 6" xfId="432"/>
    <cellStyle name="Dziesiętny 3 3 3 7" xfId="813"/>
    <cellStyle name="Dziesiętny 3 3 4" xfId="67"/>
    <cellStyle name="Dziesiętny 3 3 4 2" xfId="197"/>
    <cellStyle name="Dziesiętny 3 3 4 2 2" xfId="580"/>
    <cellStyle name="Dziesiętny 3 3 4 2 3" xfId="961"/>
    <cellStyle name="Dziesiętny 3 3 4 3" xfId="325"/>
    <cellStyle name="Dziesiętny 3 3 4 3 2" xfId="707"/>
    <cellStyle name="Dziesiętny 3 3 4 3 3" xfId="1088"/>
    <cellStyle name="Dziesiętny 3 3 4 4" xfId="453"/>
    <cellStyle name="Dziesiętny 3 3 4 5" xfId="834"/>
    <cellStyle name="Dziesiętny 3 3 5" xfId="108"/>
    <cellStyle name="Dziesiętny 3 3 5 2" xfId="238"/>
    <cellStyle name="Dziesiętny 3 3 5 2 2" xfId="621"/>
    <cellStyle name="Dziesiętny 3 3 5 2 3" xfId="1002"/>
    <cellStyle name="Dziesiętny 3 3 5 3" xfId="366"/>
    <cellStyle name="Dziesiętny 3 3 5 3 2" xfId="748"/>
    <cellStyle name="Dziesiętny 3 3 5 3 3" xfId="1129"/>
    <cellStyle name="Dziesiętny 3 3 5 4" xfId="494"/>
    <cellStyle name="Dziesiętny 3 3 5 5" xfId="875"/>
    <cellStyle name="Dziesiętny 3 3 6" xfId="156"/>
    <cellStyle name="Dziesiętny 3 3 6 2" xfId="539"/>
    <cellStyle name="Dziesiętny 3 3 6 3" xfId="920"/>
    <cellStyle name="Dziesiętny 3 3 7" xfId="284"/>
    <cellStyle name="Dziesiętny 3 3 7 2" xfId="666"/>
    <cellStyle name="Dziesiętny 3 3 7 3" xfId="1047"/>
    <cellStyle name="Dziesiętny 3 3 8" xfId="412"/>
    <cellStyle name="Dziesiętny 3 3 9" xfId="793"/>
    <cellStyle name="Dziesiętny 3 4" xfId="26"/>
    <cellStyle name="Dziesiętny 3 4 2" xfId="48"/>
    <cellStyle name="Dziesiętny 3 4 2 2" xfId="92"/>
    <cellStyle name="Dziesiętny 3 4 2 2 2" xfId="222"/>
    <cellStyle name="Dziesiętny 3 4 2 2 2 2" xfId="605"/>
    <cellStyle name="Dziesiętny 3 4 2 2 2 3" xfId="986"/>
    <cellStyle name="Dziesiętny 3 4 2 2 3" xfId="350"/>
    <cellStyle name="Dziesiętny 3 4 2 2 3 2" xfId="732"/>
    <cellStyle name="Dziesiętny 3 4 2 2 3 3" xfId="1113"/>
    <cellStyle name="Dziesiętny 3 4 2 2 4" xfId="478"/>
    <cellStyle name="Dziesiętny 3 4 2 2 5" xfId="859"/>
    <cellStyle name="Dziesiętny 3 4 2 3" xfId="133"/>
    <cellStyle name="Dziesiętny 3 4 2 3 2" xfId="263"/>
    <cellStyle name="Dziesiętny 3 4 2 3 2 2" xfId="646"/>
    <cellStyle name="Dziesiętny 3 4 2 3 2 3" xfId="1027"/>
    <cellStyle name="Dziesiętny 3 4 2 3 3" xfId="391"/>
    <cellStyle name="Dziesiętny 3 4 2 3 3 2" xfId="773"/>
    <cellStyle name="Dziesiętny 3 4 2 3 3 3" xfId="1154"/>
    <cellStyle name="Dziesiętny 3 4 2 3 4" xfId="519"/>
    <cellStyle name="Dziesiętny 3 4 2 3 5" xfId="900"/>
    <cellStyle name="Dziesiętny 3 4 2 4" xfId="181"/>
    <cellStyle name="Dziesiętny 3 4 2 4 2" xfId="564"/>
    <cellStyle name="Dziesiętny 3 4 2 4 3" xfId="945"/>
    <cellStyle name="Dziesiętny 3 4 2 5" xfId="309"/>
    <cellStyle name="Dziesiętny 3 4 2 5 2" xfId="691"/>
    <cellStyle name="Dziesiętny 3 4 2 5 3" xfId="1072"/>
    <cellStyle name="Dziesiętny 3 4 2 6" xfId="437"/>
    <cellStyle name="Dziesiętny 3 4 2 7" xfId="818"/>
    <cellStyle name="Dziesiętny 3 4 3" xfId="72"/>
    <cellStyle name="Dziesiętny 3 4 3 2" xfId="202"/>
    <cellStyle name="Dziesiętny 3 4 3 2 2" xfId="585"/>
    <cellStyle name="Dziesiętny 3 4 3 2 3" xfId="966"/>
    <cellStyle name="Dziesiętny 3 4 3 3" xfId="330"/>
    <cellStyle name="Dziesiętny 3 4 3 3 2" xfId="712"/>
    <cellStyle name="Dziesiętny 3 4 3 3 3" xfId="1093"/>
    <cellStyle name="Dziesiętny 3 4 3 4" xfId="458"/>
    <cellStyle name="Dziesiętny 3 4 3 5" xfId="839"/>
    <cellStyle name="Dziesiętny 3 4 4" xfId="113"/>
    <cellStyle name="Dziesiętny 3 4 4 2" xfId="243"/>
    <cellStyle name="Dziesiętny 3 4 4 2 2" xfId="626"/>
    <cellStyle name="Dziesiętny 3 4 4 2 3" xfId="1007"/>
    <cellStyle name="Dziesiętny 3 4 4 3" xfId="371"/>
    <cellStyle name="Dziesiętny 3 4 4 3 2" xfId="753"/>
    <cellStyle name="Dziesiętny 3 4 4 3 3" xfId="1134"/>
    <cellStyle name="Dziesiętny 3 4 4 4" xfId="499"/>
    <cellStyle name="Dziesiętny 3 4 4 5" xfId="880"/>
    <cellStyle name="Dziesiętny 3 4 5" xfId="161"/>
    <cellStyle name="Dziesiętny 3 4 5 2" xfId="544"/>
    <cellStyle name="Dziesiętny 3 4 5 3" xfId="925"/>
    <cellStyle name="Dziesiętny 3 4 6" xfId="289"/>
    <cellStyle name="Dziesiętny 3 4 6 2" xfId="671"/>
    <cellStyle name="Dziesiętny 3 4 6 3" xfId="1052"/>
    <cellStyle name="Dziesiętny 3 4 7" xfId="417"/>
    <cellStyle name="Dziesiętny 3 4 8" xfId="798"/>
    <cellStyle name="Dziesiętny 3 5" xfId="36"/>
    <cellStyle name="Dziesiętny 3 5 2" xfId="82"/>
    <cellStyle name="Dziesiętny 3 5 2 2" xfId="212"/>
    <cellStyle name="Dziesiętny 3 5 2 2 2" xfId="595"/>
    <cellStyle name="Dziesiętny 3 5 2 2 3" xfId="976"/>
    <cellStyle name="Dziesiętny 3 5 2 3" xfId="340"/>
    <cellStyle name="Dziesiętny 3 5 2 3 2" xfId="722"/>
    <cellStyle name="Dziesiętny 3 5 2 3 3" xfId="1103"/>
    <cellStyle name="Dziesiętny 3 5 2 4" xfId="468"/>
    <cellStyle name="Dziesiętny 3 5 2 5" xfId="849"/>
    <cellStyle name="Dziesiętny 3 5 3" xfId="123"/>
    <cellStyle name="Dziesiętny 3 5 3 2" xfId="253"/>
    <cellStyle name="Dziesiętny 3 5 3 2 2" xfId="636"/>
    <cellStyle name="Dziesiętny 3 5 3 2 3" xfId="1017"/>
    <cellStyle name="Dziesiętny 3 5 3 3" xfId="381"/>
    <cellStyle name="Dziesiętny 3 5 3 3 2" xfId="763"/>
    <cellStyle name="Dziesiętny 3 5 3 3 3" xfId="1144"/>
    <cellStyle name="Dziesiętny 3 5 3 4" xfId="509"/>
    <cellStyle name="Dziesiętny 3 5 3 5" xfId="890"/>
    <cellStyle name="Dziesiętny 3 5 4" xfId="171"/>
    <cellStyle name="Dziesiętny 3 5 4 2" xfId="554"/>
    <cellStyle name="Dziesiętny 3 5 4 3" xfId="935"/>
    <cellStyle name="Dziesiętny 3 5 5" xfId="299"/>
    <cellStyle name="Dziesiętny 3 5 5 2" xfId="681"/>
    <cellStyle name="Dziesiętny 3 5 5 3" xfId="1062"/>
    <cellStyle name="Dziesiętny 3 5 6" xfId="427"/>
    <cellStyle name="Dziesiętny 3 5 7" xfId="808"/>
    <cellStyle name="Dziesiętny 3 6" xfId="62"/>
    <cellStyle name="Dziesiętny 3 6 2" xfId="192"/>
    <cellStyle name="Dziesiętny 3 6 2 2" xfId="575"/>
    <cellStyle name="Dziesiętny 3 6 2 3" xfId="956"/>
    <cellStyle name="Dziesiętny 3 6 3" xfId="320"/>
    <cellStyle name="Dziesiętny 3 6 3 2" xfId="702"/>
    <cellStyle name="Dziesiętny 3 6 3 3" xfId="1083"/>
    <cellStyle name="Dziesiętny 3 6 4" xfId="448"/>
    <cellStyle name="Dziesiętny 3 6 5" xfId="829"/>
    <cellStyle name="Dziesiętny 3 7" xfId="103"/>
    <cellStyle name="Dziesiętny 3 7 2" xfId="233"/>
    <cellStyle name="Dziesiętny 3 7 2 2" xfId="616"/>
    <cellStyle name="Dziesiętny 3 7 2 3" xfId="997"/>
    <cellStyle name="Dziesiętny 3 7 3" xfId="361"/>
    <cellStyle name="Dziesiętny 3 7 3 2" xfId="743"/>
    <cellStyle name="Dziesiętny 3 7 3 3" xfId="1124"/>
    <cellStyle name="Dziesiętny 3 7 4" xfId="489"/>
    <cellStyle name="Dziesiętny 3 7 5" xfId="870"/>
    <cellStyle name="Dziesiętny 3 8" xfId="151"/>
    <cellStyle name="Dziesiętny 3 8 2" xfId="534"/>
    <cellStyle name="Dziesiętny 3 8 3" xfId="915"/>
    <cellStyle name="Dziesiętny 3 9" xfId="279"/>
    <cellStyle name="Dziesiętny 3 9 2" xfId="661"/>
    <cellStyle name="Dziesiętny 3 9 3" xfId="1042"/>
    <cellStyle name="Dziesiętny 4" xfId="21"/>
    <cellStyle name="Dziesiętny 4 2" xfId="32"/>
    <cellStyle name="Dziesiętny 4 2 2" xfId="54"/>
    <cellStyle name="Dziesiętny 4 2 2 2" xfId="98"/>
    <cellStyle name="Dziesiętny 4 2 2 2 2" xfId="228"/>
    <cellStyle name="Dziesiętny 4 2 2 2 2 2" xfId="611"/>
    <cellStyle name="Dziesiętny 4 2 2 2 2 3" xfId="992"/>
    <cellStyle name="Dziesiętny 4 2 2 2 3" xfId="356"/>
    <cellStyle name="Dziesiętny 4 2 2 2 3 2" xfId="738"/>
    <cellStyle name="Dziesiętny 4 2 2 2 3 3" xfId="1119"/>
    <cellStyle name="Dziesiętny 4 2 2 2 4" xfId="484"/>
    <cellStyle name="Dziesiętny 4 2 2 2 5" xfId="865"/>
    <cellStyle name="Dziesiętny 4 2 2 3" xfId="139"/>
    <cellStyle name="Dziesiętny 4 2 2 3 2" xfId="269"/>
    <cellStyle name="Dziesiętny 4 2 2 3 2 2" xfId="652"/>
    <cellStyle name="Dziesiętny 4 2 2 3 2 3" xfId="1033"/>
    <cellStyle name="Dziesiętny 4 2 2 3 3" xfId="397"/>
    <cellStyle name="Dziesiętny 4 2 2 3 3 2" xfId="779"/>
    <cellStyle name="Dziesiętny 4 2 2 3 3 3" xfId="1160"/>
    <cellStyle name="Dziesiętny 4 2 2 3 4" xfId="525"/>
    <cellStyle name="Dziesiętny 4 2 2 3 5" xfId="906"/>
    <cellStyle name="Dziesiętny 4 2 2 4" xfId="187"/>
    <cellStyle name="Dziesiętny 4 2 2 4 2" xfId="570"/>
    <cellStyle name="Dziesiętny 4 2 2 4 3" xfId="951"/>
    <cellStyle name="Dziesiętny 4 2 2 5" xfId="315"/>
    <cellStyle name="Dziesiętny 4 2 2 5 2" xfId="697"/>
    <cellStyle name="Dziesiętny 4 2 2 5 3" xfId="1078"/>
    <cellStyle name="Dziesiętny 4 2 2 6" xfId="443"/>
    <cellStyle name="Dziesiętny 4 2 2 7" xfId="824"/>
    <cellStyle name="Dziesiętny 4 2 3" xfId="78"/>
    <cellStyle name="Dziesiętny 4 2 3 2" xfId="208"/>
    <cellStyle name="Dziesiętny 4 2 3 2 2" xfId="591"/>
    <cellStyle name="Dziesiętny 4 2 3 2 3" xfId="972"/>
    <cellStyle name="Dziesiętny 4 2 3 3" xfId="336"/>
    <cellStyle name="Dziesiętny 4 2 3 3 2" xfId="718"/>
    <cellStyle name="Dziesiętny 4 2 3 3 3" xfId="1099"/>
    <cellStyle name="Dziesiętny 4 2 3 4" xfId="464"/>
    <cellStyle name="Dziesiętny 4 2 3 5" xfId="845"/>
    <cellStyle name="Dziesiętny 4 2 4" xfId="119"/>
    <cellStyle name="Dziesiętny 4 2 4 2" xfId="249"/>
    <cellStyle name="Dziesiętny 4 2 4 2 2" xfId="632"/>
    <cellStyle name="Dziesiętny 4 2 4 2 3" xfId="1013"/>
    <cellStyle name="Dziesiętny 4 2 4 3" xfId="377"/>
    <cellStyle name="Dziesiętny 4 2 4 3 2" xfId="759"/>
    <cellStyle name="Dziesiętny 4 2 4 3 3" xfId="1140"/>
    <cellStyle name="Dziesiętny 4 2 4 4" xfId="505"/>
    <cellStyle name="Dziesiętny 4 2 4 5" xfId="886"/>
    <cellStyle name="Dziesiętny 4 2 5" xfId="167"/>
    <cellStyle name="Dziesiętny 4 2 5 2" xfId="550"/>
    <cellStyle name="Dziesiętny 4 2 5 3" xfId="931"/>
    <cellStyle name="Dziesiętny 4 2 6" xfId="295"/>
    <cellStyle name="Dziesiętny 4 2 6 2" xfId="677"/>
    <cellStyle name="Dziesiętny 4 2 6 3" xfId="1058"/>
    <cellStyle name="Dziesiętny 4 2 7" xfId="423"/>
    <cellStyle name="Dziesiętny 4 2 8" xfId="804"/>
    <cellStyle name="Dziesiętny 4 3" xfId="43"/>
    <cellStyle name="Dziesiętny 4 3 2" xfId="88"/>
    <cellStyle name="Dziesiętny 4 3 2 2" xfId="218"/>
    <cellStyle name="Dziesiętny 4 3 2 2 2" xfId="601"/>
    <cellStyle name="Dziesiętny 4 3 2 2 3" xfId="982"/>
    <cellStyle name="Dziesiętny 4 3 2 3" xfId="346"/>
    <cellStyle name="Dziesiętny 4 3 2 3 2" xfId="728"/>
    <cellStyle name="Dziesiętny 4 3 2 3 3" xfId="1109"/>
    <cellStyle name="Dziesiętny 4 3 2 4" xfId="474"/>
    <cellStyle name="Dziesiętny 4 3 2 5" xfId="855"/>
    <cellStyle name="Dziesiętny 4 3 3" xfId="129"/>
    <cellStyle name="Dziesiętny 4 3 3 2" xfId="259"/>
    <cellStyle name="Dziesiętny 4 3 3 2 2" xfId="642"/>
    <cellStyle name="Dziesiętny 4 3 3 2 3" xfId="1023"/>
    <cellStyle name="Dziesiętny 4 3 3 3" xfId="387"/>
    <cellStyle name="Dziesiętny 4 3 3 3 2" xfId="769"/>
    <cellStyle name="Dziesiętny 4 3 3 3 3" xfId="1150"/>
    <cellStyle name="Dziesiętny 4 3 3 4" xfId="515"/>
    <cellStyle name="Dziesiętny 4 3 3 5" xfId="896"/>
    <cellStyle name="Dziesiętny 4 3 4" xfId="177"/>
    <cellStyle name="Dziesiętny 4 3 4 2" xfId="560"/>
    <cellStyle name="Dziesiętny 4 3 4 3" xfId="941"/>
    <cellStyle name="Dziesiętny 4 3 5" xfId="305"/>
    <cellStyle name="Dziesiętny 4 3 5 2" xfId="687"/>
    <cellStyle name="Dziesiętny 4 3 5 3" xfId="1068"/>
    <cellStyle name="Dziesiętny 4 3 6" xfId="433"/>
    <cellStyle name="Dziesiętny 4 3 7" xfId="814"/>
    <cellStyle name="Dziesiętny 4 4" xfId="68"/>
    <cellStyle name="Dziesiętny 4 4 2" xfId="198"/>
    <cellStyle name="Dziesiętny 4 4 2 2" xfId="581"/>
    <cellStyle name="Dziesiętny 4 4 2 3" xfId="962"/>
    <cellStyle name="Dziesiętny 4 4 3" xfId="326"/>
    <cellStyle name="Dziesiętny 4 4 3 2" xfId="708"/>
    <cellStyle name="Dziesiętny 4 4 3 3" xfId="1089"/>
    <cellStyle name="Dziesiętny 4 4 4" xfId="454"/>
    <cellStyle name="Dziesiętny 4 4 5" xfId="835"/>
    <cellStyle name="Dziesiętny 4 5" xfId="109"/>
    <cellStyle name="Dziesiętny 4 5 2" xfId="239"/>
    <cellStyle name="Dziesiętny 4 5 2 2" xfId="622"/>
    <cellStyle name="Dziesiętny 4 5 2 3" xfId="1003"/>
    <cellStyle name="Dziesiętny 4 5 3" xfId="367"/>
    <cellStyle name="Dziesiętny 4 5 3 2" xfId="749"/>
    <cellStyle name="Dziesiętny 4 5 3 3" xfId="1130"/>
    <cellStyle name="Dziesiętny 4 5 4" xfId="495"/>
    <cellStyle name="Dziesiętny 4 5 5" xfId="876"/>
    <cellStyle name="Dziesiętny 4 6" xfId="157"/>
    <cellStyle name="Dziesiętny 4 6 2" xfId="540"/>
    <cellStyle name="Dziesiętny 4 6 3" xfId="921"/>
    <cellStyle name="Dziesiętny 4 7" xfId="285"/>
    <cellStyle name="Dziesiętny 4 7 2" xfId="667"/>
    <cellStyle name="Dziesiętny 4 7 3" xfId="1048"/>
    <cellStyle name="Dziesiętny 4 8" xfId="413"/>
    <cellStyle name="Dziesiętny 4 9" xfId="794"/>
    <cellStyle name="Dziesiętny 5" xfId="18"/>
    <cellStyle name="Dziesiętny 5 2" xfId="29"/>
    <cellStyle name="Dziesiętny 5 2 2" xfId="51"/>
    <cellStyle name="Dziesiętny 5 2 2 2" xfId="95"/>
    <cellStyle name="Dziesiętny 5 2 2 2 2" xfId="225"/>
    <cellStyle name="Dziesiętny 5 2 2 2 2 2" xfId="608"/>
    <cellStyle name="Dziesiętny 5 2 2 2 2 3" xfId="989"/>
    <cellStyle name="Dziesiętny 5 2 2 2 3" xfId="353"/>
    <cellStyle name="Dziesiętny 5 2 2 2 3 2" xfId="735"/>
    <cellStyle name="Dziesiętny 5 2 2 2 3 3" xfId="1116"/>
    <cellStyle name="Dziesiętny 5 2 2 2 4" xfId="481"/>
    <cellStyle name="Dziesiętny 5 2 2 2 5" xfId="862"/>
    <cellStyle name="Dziesiętny 5 2 2 3" xfId="136"/>
    <cellStyle name="Dziesiętny 5 2 2 3 2" xfId="266"/>
    <cellStyle name="Dziesiętny 5 2 2 3 2 2" xfId="649"/>
    <cellStyle name="Dziesiętny 5 2 2 3 2 3" xfId="1030"/>
    <cellStyle name="Dziesiętny 5 2 2 3 3" xfId="394"/>
    <cellStyle name="Dziesiętny 5 2 2 3 3 2" xfId="776"/>
    <cellStyle name="Dziesiętny 5 2 2 3 3 3" xfId="1157"/>
    <cellStyle name="Dziesiętny 5 2 2 3 4" xfId="522"/>
    <cellStyle name="Dziesiętny 5 2 2 3 5" xfId="903"/>
    <cellStyle name="Dziesiętny 5 2 2 4" xfId="184"/>
    <cellStyle name="Dziesiętny 5 2 2 4 2" xfId="567"/>
    <cellStyle name="Dziesiętny 5 2 2 4 3" xfId="948"/>
    <cellStyle name="Dziesiętny 5 2 2 5" xfId="312"/>
    <cellStyle name="Dziesiętny 5 2 2 5 2" xfId="694"/>
    <cellStyle name="Dziesiętny 5 2 2 5 3" xfId="1075"/>
    <cellStyle name="Dziesiętny 5 2 2 6" xfId="440"/>
    <cellStyle name="Dziesiętny 5 2 2 7" xfId="821"/>
    <cellStyle name="Dziesiętny 5 2 3" xfId="75"/>
    <cellStyle name="Dziesiętny 5 2 3 2" xfId="205"/>
    <cellStyle name="Dziesiętny 5 2 3 2 2" xfId="588"/>
    <cellStyle name="Dziesiętny 5 2 3 2 3" xfId="969"/>
    <cellStyle name="Dziesiętny 5 2 3 3" xfId="333"/>
    <cellStyle name="Dziesiętny 5 2 3 3 2" xfId="715"/>
    <cellStyle name="Dziesiętny 5 2 3 3 3" xfId="1096"/>
    <cellStyle name="Dziesiętny 5 2 3 4" xfId="461"/>
    <cellStyle name="Dziesiętny 5 2 3 5" xfId="842"/>
    <cellStyle name="Dziesiętny 5 2 4" xfId="116"/>
    <cellStyle name="Dziesiętny 5 2 4 2" xfId="246"/>
    <cellStyle name="Dziesiętny 5 2 4 2 2" xfId="629"/>
    <cellStyle name="Dziesiętny 5 2 4 2 3" xfId="1010"/>
    <cellStyle name="Dziesiętny 5 2 4 3" xfId="374"/>
    <cellStyle name="Dziesiętny 5 2 4 3 2" xfId="756"/>
    <cellStyle name="Dziesiętny 5 2 4 3 3" xfId="1137"/>
    <cellStyle name="Dziesiętny 5 2 4 4" xfId="502"/>
    <cellStyle name="Dziesiętny 5 2 4 5" xfId="883"/>
    <cellStyle name="Dziesiętny 5 2 5" xfId="164"/>
    <cellStyle name="Dziesiętny 5 2 5 2" xfId="547"/>
    <cellStyle name="Dziesiętny 5 2 5 3" xfId="928"/>
    <cellStyle name="Dziesiętny 5 2 6" xfId="292"/>
    <cellStyle name="Dziesiętny 5 2 6 2" xfId="674"/>
    <cellStyle name="Dziesiętny 5 2 6 3" xfId="1055"/>
    <cellStyle name="Dziesiętny 5 2 7" xfId="420"/>
    <cellStyle name="Dziesiętny 5 2 8" xfId="801"/>
    <cellStyle name="Dziesiętny 5 3" xfId="40"/>
    <cellStyle name="Dziesiętny 5 3 2" xfId="85"/>
    <cellStyle name="Dziesiętny 5 3 2 2" xfId="215"/>
    <cellStyle name="Dziesiętny 5 3 2 2 2" xfId="598"/>
    <cellStyle name="Dziesiętny 5 3 2 2 3" xfId="979"/>
    <cellStyle name="Dziesiętny 5 3 2 3" xfId="343"/>
    <cellStyle name="Dziesiętny 5 3 2 3 2" xfId="725"/>
    <cellStyle name="Dziesiętny 5 3 2 3 3" xfId="1106"/>
    <cellStyle name="Dziesiętny 5 3 2 4" xfId="471"/>
    <cellStyle name="Dziesiętny 5 3 2 5" xfId="852"/>
    <cellStyle name="Dziesiętny 5 3 3" xfId="126"/>
    <cellStyle name="Dziesiętny 5 3 3 2" xfId="256"/>
    <cellStyle name="Dziesiętny 5 3 3 2 2" xfId="639"/>
    <cellStyle name="Dziesiętny 5 3 3 2 3" xfId="1020"/>
    <cellStyle name="Dziesiętny 5 3 3 3" xfId="384"/>
    <cellStyle name="Dziesiętny 5 3 3 3 2" xfId="766"/>
    <cellStyle name="Dziesiętny 5 3 3 3 3" xfId="1147"/>
    <cellStyle name="Dziesiętny 5 3 3 4" xfId="512"/>
    <cellStyle name="Dziesiętny 5 3 3 5" xfId="893"/>
    <cellStyle name="Dziesiętny 5 3 4" xfId="174"/>
    <cellStyle name="Dziesiętny 5 3 4 2" xfId="557"/>
    <cellStyle name="Dziesiętny 5 3 4 3" xfId="938"/>
    <cellStyle name="Dziesiętny 5 3 5" xfId="302"/>
    <cellStyle name="Dziesiętny 5 3 5 2" xfId="684"/>
    <cellStyle name="Dziesiętny 5 3 5 3" xfId="1065"/>
    <cellStyle name="Dziesiętny 5 3 6" xfId="430"/>
    <cellStyle name="Dziesiętny 5 3 7" xfId="811"/>
    <cellStyle name="Dziesiętny 5 4" xfId="65"/>
    <cellStyle name="Dziesiętny 5 4 2" xfId="195"/>
    <cellStyle name="Dziesiętny 5 4 2 2" xfId="578"/>
    <cellStyle name="Dziesiętny 5 4 2 3" xfId="959"/>
    <cellStyle name="Dziesiętny 5 4 3" xfId="323"/>
    <cellStyle name="Dziesiętny 5 4 3 2" xfId="705"/>
    <cellStyle name="Dziesiętny 5 4 3 3" xfId="1086"/>
    <cellStyle name="Dziesiętny 5 4 4" xfId="451"/>
    <cellStyle name="Dziesiętny 5 4 5" xfId="832"/>
    <cellStyle name="Dziesiętny 5 5" xfId="106"/>
    <cellStyle name="Dziesiętny 5 5 2" xfId="236"/>
    <cellStyle name="Dziesiętny 5 5 2 2" xfId="619"/>
    <cellStyle name="Dziesiętny 5 5 2 3" xfId="1000"/>
    <cellStyle name="Dziesiętny 5 5 3" xfId="364"/>
    <cellStyle name="Dziesiętny 5 5 3 2" xfId="746"/>
    <cellStyle name="Dziesiętny 5 5 3 3" xfId="1127"/>
    <cellStyle name="Dziesiętny 5 5 4" xfId="492"/>
    <cellStyle name="Dziesiętny 5 5 5" xfId="873"/>
    <cellStyle name="Dziesiętny 5 6" xfId="154"/>
    <cellStyle name="Dziesiętny 5 6 2" xfId="537"/>
    <cellStyle name="Dziesiętny 5 6 3" xfId="918"/>
    <cellStyle name="Dziesiętny 5 7" xfId="282"/>
    <cellStyle name="Dziesiętny 5 7 2" xfId="664"/>
    <cellStyle name="Dziesiętny 5 7 3" xfId="1045"/>
    <cellStyle name="Dziesiętny 5 8" xfId="410"/>
    <cellStyle name="Dziesiętny 5 9" xfId="791"/>
    <cellStyle name="Dziesiętny 6" xfId="24"/>
    <cellStyle name="Dziesiętny 6 2" xfId="46"/>
    <cellStyle name="Dziesiętny 6 2 2" xfId="90"/>
    <cellStyle name="Dziesiętny 6 2 2 2" xfId="220"/>
    <cellStyle name="Dziesiętny 6 2 2 2 2" xfId="603"/>
    <cellStyle name="Dziesiętny 6 2 2 2 3" xfId="984"/>
    <cellStyle name="Dziesiętny 6 2 2 3" xfId="348"/>
    <cellStyle name="Dziesiętny 6 2 2 3 2" xfId="730"/>
    <cellStyle name="Dziesiętny 6 2 2 3 3" xfId="1111"/>
    <cellStyle name="Dziesiętny 6 2 2 4" xfId="476"/>
    <cellStyle name="Dziesiętny 6 2 2 5" xfId="857"/>
    <cellStyle name="Dziesiętny 6 2 3" xfId="131"/>
    <cellStyle name="Dziesiętny 6 2 3 2" xfId="261"/>
    <cellStyle name="Dziesiętny 6 2 3 2 2" xfId="644"/>
    <cellStyle name="Dziesiętny 6 2 3 2 3" xfId="1025"/>
    <cellStyle name="Dziesiętny 6 2 3 3" xfId="389"/>
    <cellStyle name="Dziesiętny 6 2 3 3 2" xfId="771"/>
    <cellStyle name="Dziesiętny 6 2 3 3 3" xfId="1152"/>
    <cellStyle name="Dziesiętny 6 2 3 4" xfId="517"/>
    <cellStyle name="Dziesiętny 6 2 3 5" xfId="898"/>
    <cellStyle name="Dziesiętny 6 2 4" xfId="179"/>
    <cellStyle name="Dziesiętny 6 2 4 2" xfId="562"/>
    <cellStyle name="Dziesiętny 6 2 4 3" xfId="943"/>
    <cellStyle name="Dziesiętny 6 2 5" xfId="307"/>
    <cellStyle name="Dziesiętny 6 2 5 2" xfId="689"/>
    <cellStyle name="Dziesiętny 6 2 5 3" xfId="1070"/>
    <cellStyle name="Dziesiętny 6 2 6" xfId="435"/>
    <cellStyle name="Dziesiętny 6 2 7" xfId="816"/>
    <cellStyle name="Dziesiętny 6 3" xfId="70"/>
    <cellStyle name="Dziesiętny 6 3 2" xfId="200"/>
    <cellStyle name="Dziesiętny 6 3 2 2" xfId="583"/>
    <cellStyle name="Dziesiętny 6 3 2 3" xfId="964"/>
    <cellStyle name="Dziesiętny 6 3 3" xfId="328"/>
    <cellStyle name="Dziesiętny 6 3 3 2" xfId="710"/>
    <cellStyle name="Dziesiętny 6 3 3 3" xfId="1091"/>
    <cellStyle name="Dziesiętny 6 3 4" xfId="456"/>
    <cellStyle name="Dziesiętny 6 3 5" xfId="837"/>
    <cellStyle name="Dziesiętny 6 4" xfId="111"/>
    <cellStyle name="Dziesiętny 6 4 2" xfId="241"/>
    <cellStyle name="Dziesiętny 6 4 2 2" xfId="624"/>
    <cellStyle name="Dziesiętny 6 4 2 3" xfId="1005"/>
    <cellStyle name="Dziesiętny 6 4 3" xfId="369"/>
    <cellStyle name="Dziesiętny 6 4 3 2" xfId="751"/>
    <cellStyle name="Dziesiętny 6 4 3 3" xfId="1132"/>
    <cellStyle name="Dziesiętny 6 4 4" xfId="497"/>
    <cellStyle name="Dziesiętny 6 4 5" xfId="878"/>
    <cellStyle name="Dziesiętny 6 5" xfId="159"/>
    <cellStyle name="Dziesiętny 6 5 2" xfId="542"/>
    <cellStyle name="Dziesiętny 6 5 3" xfId="923"/>
    <cellStyle name="Dziesiętny 6 6" xfId="287"/>
    <cellStyle name="Dziesiętny 6 6 2" xfId="669"/>
    <cellStyle name="Dziesiętny 6 6 3" xfId="1050"/>
    <cellStyle name="Dziesiętny 6 7" xfId="415"/>
    <cellStyle name="Dziesiętny 6 8" xfId="796"/>
    <cellStyle name="Dziesiętny 7" xfId="34"/>
    <cellStyle name="Dziesiętny 7 2" xfId="80"/>
    <cellStyle name="Dziesiętny 7 2 2" xfId="210"/>
    <cellStyle name="Dziesiętny 7 2 2 2" xfId="593"/>
    <cellStyle name="Dziesiętny 7 2 2 3" xfId="974"/>
    <cellStyle name="Dziesiętny 7 2 3" xfId="338"/>
    <cellStyle name="Dziesiętny 7 2 3 2" xfId="720"/>
    <cellStyle name="Dziesiętny 7 2 3 3" xfId="1101"/>
    <cellStyle name="Dziesiętny 7 2 4" xfId="466"/>
    <cellStyle name="Dziesiętny 7 2 5" xfId="847"/>
    <cellStyle name="Dziesiętny 7 3" xfId="121"/>
    <cellStyle name="Dziesiętny 7 3 2" xfId="251"/>
    <cellStyle name="Dziesiętny 7 3 2 2" xfId="634"/>
    <cellStyle name="Dziesiętny 7 3 2 3" xfId="1015"/>
    <cellStyle name="Dziesiętny 7 3 3" xfId="379"/>
    <cellStyle name="Dziesiętny 7 3 3 2" xfId="761"/>
    <cellStyle name="Dziesiętny 7 3 3 3" xfId="1142"/>
    <cellStyle name="Dziesiętny 7 3 4" xfId="507"/>
    <cellStyle name="Dziesiętny 7 3 5" xfId="888"/>
    <cellStyle name="Dziesiętny 7 4" xfId="169"/>
    <cellStyle name="Dziesiętny 7 4 2" xfId="552"/>
    <cellStyle name="Dziesiętny 7 4 3" xfId="933"/>
    <cellStyle name="Dziesiętny 7 5" xfId="297"/>
    <cellStyle name="Dziesiętny 7 5 2" xfId="679"/>
    <cellStyle name="Dziesiętny 7 5 3" xfId="1060"/>
    <cellStyle name="Dziesiętny 7 6" xfId="425"/>
    <cellStyle name="Dziesiętny 7 7" xfId="806"/>
    <cellStyle name="Dziesiętny 8" xfId="60"/>
    <cellStyle name="Dziesiętny 8 2" xfId="190"/>
    <cellStyle name="Dziesiętny 8 2 2" xfId="573"/>
    <cellStyle name="Dziesiętny 8 2 3" xfId="954"/>
    <cellStyle name="Dziesiętny 8 3" xfId="318"/>
    <cellStyle name="Dziesiętny 8 3 2" xfId="700"/>
    <cellStyle name="Dziesiętny 8 3 3" xfId="1081"/>
    <cellStyle name="Dziesiętny 8 4" xfId="446"/>
    <cellStyle name="Dziesiętny 8 5" xfId="827"/>
    <cellStyle name="Dziesiętny 9" xfId="101"/>
    <cellStyle name="Dziesiętny 9 2" xfId="231"/>
    <cellStyle name="Dziesiętny 9 2 2" xfId="614"/>
    <cellStyle name="Dziesiętny 9 2 3" xfId="995"/>
    <cellStyle name="Dziesiętny 9 3" xfId="359"/>
    <cellStyle name="Dziesiętny 9 3 2" xfId="741"/>
    <cellStyle name="Dziesiętny 9 3 3" xfId="1122"/>
    <cellStyle name="Dziesiętny 9 4" xfId="487"/>
    <cellStyle name="Dziesiętny 9 5" xfId="868"/>
    <cellStyle name="Hiperłącze" xfId="2" builtinId="8"/>
    <cellStyle name="Hiperłącze 2" xfId="3"/>
    <cellStyle name="Normal_Nota Nr 1" xfId="4"/>
    <cellStyle name="Normalny" xfId="0" builtinId="0"/>
    <cellStyle name="Normalny 2" xfId="5"/>
    <cellStyle name="Normalny 2 2" xfId="37"/>
    <cellStyle name="Normalny 2 2 2" xfId="58"/>
    <cellStyle name="Normalny 2 3" xfId="57"/>
    <cellStyle name="Normalny 2 4" xfId="148"/>
    <cellStyle name="Normalny 2 4 2" xfId="276"/>
    <cellStyle name="Normalny 3" xfId="6"/>
    <cellStyle name="Normalny 3 2" xfId="14"/>
    <cellStyle name="Normalny 4" xfId="12"/>
    <cellStyle name="Normalny 5" xfId="56"/>
    <cellStyle name="Normalny 5 2" xfId="100"/>
    <cellStyle name="Normalny 5 2 2" xfId="230"/>
    <cellStyle name="Normalny 5 2 2 2" xfId="613"/>
    <cellStyle name="Normalny 5 2 2 3" xfId="994"/>
    <cellStyle name="Normalny 5 2 3" xfId="358"/>
    <cellStyle name="Normalny 5 2 3 2" xfId="740"/>
    <cellStyle name="Normalny 5 2 3 3" xfId="1121"/>
    <cellStyle name="Normalny 5 2 4" xfId="486"/>
    <cellStyle name="Normalny 5 2 5" xfId="867"/>
    <cellStyle name="Normalny 5 3" xfId="141"/>
    <cellStyle name="Normalny 5 3 2" xfId="271"/>
    <cellStyle name="Normalny 5 3 2 2" xfId="654"/>
    <cellStyle name="Normalny 5 3 2 3" xfId="1035"/>
    <cellStyle name="Normalny 5 3 3" xfId="399"/>
    <cellStyle name="Normalny 5 3 3 2" xfId="781"/>
    <cellStyle name="Normalny 5 3 3 3" xfId="1162"/>
    <cellStyle name="Normalny 5 3 4" xfId="527"/>
    <cellStyle name="Normalny 5 3 5" xfId="908"/>
    <cellStyle name="Normalny 5 4" xfId="142"/>
    <cellStyle name="Normalny 5 4 2" xfId="272"/>
    <cellStyle name="Normalny 5 4 2 2" xfId="655"/>
    <cellStyle name="Normalny 5 4 2 3" xfId="1036"/>
    <cellStyle name="Normalny 5 4 3" xfId="400"/>
    <cellStyle name="Normalny 5 4 3 2" xfId="782"/>
    <cellStyle name="Normalny 5 4 3 3" xfId="1163"/>
    <cellStyle name="Normalny 5 4 4" xfId="528"/>
    <cellStyle name="Normalny 5 4 5" xfId="909"/>
    <cellStyle name="Normalny 5 5" xfId="143"/>
    <cellStyle name="Normalny 5 6" xfId="189"/>
    <cellStyle name="Normalny 5 6 2" xfId="572"/>
    <cellStyle name="Normalny 5 6 3" xfId="953"/>
    <cellStyle name="Normalny 5 7" xfId="317"/>
    <cellStyle name="Normalny 5 7 2" xfId="699"/>
    <cellStyle name="Normalny 5 7 3" xfId="1080"/>
    <cellStyle name="Normalny 5 8" xfId="445"/>
    <cellStyle name="Normalny 5 9" xfId="826"/>
    <cellStyle name="Normalny 6" xfId="144"/>
    <cellStyle name="Normalny 6 2" xfId="145"/>
    <cellStyle name="Normalny 6 3" xfId="273"/>
    <cellStyle name="Normalny 6 3 2" xfId="656"/>
    <cellStyle name="Normalny 6 3 3" xfId="1037"/>
    <cellStyle name="Normalny 6 4" xfId="401"/>
    <cellStyle name="Normalny 6 4 2" xfId="783"/>
    <cellStyle name="Normalny 6 4 3" xfId="1164"/>
    <cellStyle name="Normalny 6 5" xfId="529"/>
    <cellStyle name="Normalny 6 6" xfId="910"/>
    <cellStyle name="Normalny 7" xfId="147"/>
    <cellStyle name="Normalny 7 2" xfId="275"/>
    <cellStyle name="Normalny 7 2 2" xfId="658"/>
    <cellStyle name="Normalny 7 2 3" xfId="1039"/>
    <cellStyle name="Normalny 7 3" xfId="403"/>
    <cellStyle name="Normalny 7 3 2" xfId="785"/>
    <cellStyle name="Normalny 7 3 3" xfId="1166"/>
    <cellStyle name="Normalny 7 4" xfId="531"/>
    <cellStyle name="Normalny 7 5" xfId="912"/>
    <cellStyle name="Normalny_bilans_przekształceń" xfId="7"/>
    <cellStyle name="Normalny_Pakiet informacyjny 2.2" xfId="8"/>
    <cellStyle name="Procentowy" xfId="9" builtinId="5"/>
    <cellStyle name="Procentowy 2" xfId="11"/>
    <cellStyle name="Procentowy 2 2" xfId="16"/>
    <cellStyle name="Procentowy 3" xfId="23"/>
    <cellStyle name="Procentowy 3 2" xfId="45"/>
    <cellStyle name="Procentowy 4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externalLink" Target="externalLinks/externalLink8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externalLink" Target="externalLinks/externalLink9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fal\Ustawienia%20lokalne\Temporary%20Internet%20Files\OLK19\ZAT%20Pakiet%20konsolidacyjny%2006%202006%202007%2011%2008%20N18B%20do%20uzupenien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arycki\Ustawienia%20lokalne\Temporary%20Internet%20Files\Content.Outlook\NZDZ161T\HL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ED9E53\ZAT%20Pakiet%20konsolidacyjny%2006%202006%202007%2011%2008%20N18B%20do%20uzupenien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arycki\Ustawienia%20lokalne\Temporary%20Internet%20Files\Content.Outlook\NZDZ161T\Noty%20do%20konsolidacji\ZAT%20Pakiet%20konsolidacyjny%2006%202006%202007%2011%2008%20N18B%20do%20uzupenien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pkfconsult.pl/Documents%20and%20Settings/Rafal/Ustawienia%20lokalne/Temporary%20Internet%20Files/OLK19/ZAT%20Pakiet%20konsolidacyjny%2006%202006%202007%2011%2008%20N18B%20do%20uzupenien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.Skupien\AppData\Local\Microsoft\Windows\INetCache\Content.Outlook\BC9GOKFJ\Kopia%20GK%20SF%20MSSF%2031.12.2022%20ver.3%20(00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e_60\Desktop\Sprawozdania,%20Raporty\Sprawozdania%202018\IV%20kwarta&#322;\KONSOLIDACJA\Kopia%20Kopia%20GK%20SF%20MSSF%2031.12.2018v2%20(003)%20(00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e_53\AppData\Local\Microsoft\Windows\INetCache\Content.Outlook\TKJJ88D9\Kopia%20GK%20SF%20MSSF%2031%2012_RZIS%20por_28_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e_53\Desktop\Bieg&#322;y_2019\Nota%20SF%20MSSF%20Rezerwy%20-szblon_INIS_VT_SI_FWC_SL_SARE_CB_JU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B"/>
      <sheetName val="N11A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 refreshError="1">
        <row r="55">
          <cell r="BB55" t="str">
            <v>30.06.2006</v>
          </cell>
        </row>
        <row r="56">
          <cell r="BB56" t="str">
            <v>31.12.2005</v>
          </cell>
        </row>
        <row r="96">
          <cell r="BB96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A"/>
      <sheetName val="N11B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>
        <row r="62">
          <cell r="BB62" t="str">
            <v xml:space="preserve"> na dzień 01.01.2006 roku</v>
          </cell>
        </row>
        <row r="63">
          <cell r="BB63" t="str">
            <v xml:space="preserve"> na dzień 30.06.2006 roku</v>
          </cell>
        </row>
        <row r="68">
          <cell r="BB68" t="str">
            <v xml:space="preserve"> na dzień 01.01.2005 roku</v>
          </cell>
        </row>
        <row r="72">
          <cell r="BB72" t="str">
            <v xml:space="preserve"> na dzień 31.12.2005 roku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A"/>
      <sheetName val="N11B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>
        <row r="58">
          <cell r="BB58" t="str">
            <v>od 01.01 do 30.06.2006</v>
          </cell>
        </row>
        <row r="59">
          <cell r="BB59" t="str">
            <v>od 01.01 do 30.06.2005</v>
          </cell>
        </row>
        <row r="60">
          <cell r="BB60" t="str">
            <v>od 01.01 do 31.12.2005</v>
          </cell>
        </row>
        <row r="67">
          <cell r="BB67" t="str">
            <v xml:space="preserve"> w okresie od 01.01 do 30.06.2006 roku</v>
          </cell>
        </row>
        <row r="74">
          <cell r="BB74" t="str">
            <v xml:space="preserve"> w okresie od 01.01 do 31.12.2005 roku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A"/>
      <sheetName val="N11B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>
        <row r="58">
          <cell r="BB58" t="str">
            <v>od 01.01 do 30.06.2006</v>
          </cell>
        </row>
        <row r="59">
          <cell r="BB59" t="str">
            <v>od 01.01 do 30.06.2005</v>
          </cell>
        </row>
        <row r="60">
          <cell r="BB60" t="str">
            <v>od 01.01 do 31.12.2005</v>
          </cell>
        </row>
        <row r="67">
          <cell r="BB67" t="str">
            <v xml:space="preserve"> w okresie od 01.01 do 30.06.2006 roku</v>
          </cell>
        </row>
        <row r="74">
          <cell r="BB74" t="str">
            <v xml:space="preserve"> w okresie od 01.01 do 31.12.2005 roku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B"/>
      <sheetName val="N11A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 refreshError="1">
        <row r="96">
          <cell r="BB96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wybrane dane finansowe"/>
      <sheetName val="RZiS"/>
      <sheetName val="Skr. spr. z cał. dochodów"/>
      <sheetName val="Aktywa"/>
      <sheetName val="Pasywa"/>
      <sheetName val="ZZwK"/>
      <sheetName val="RPP"/>
      <sheetName val="NOTA 1,2 - Przychody i segmenty"/>
      <sheetName val="NOTA 3 - Koszty rodzajowe"/>
      <sheetName val="NOTA 4 - PPO i PKO"/>
      <sheetName val="NOTA 5 - PF i KF"/>
      <sheetName val="NOTA 6 - Podatek "/>
      <sheetName val="NOTA 7 - Zysk na 1 akcję"/>
      <sheetName val="NOTA 9 -Rzeczowe aktywa trwałe"/>
      <sheetName val="NOTA 10 -Wartości niematerialne"/>
      <sheetName val="NOTA 11 - PRAWO DO UŻYTKOWANIA"/>
      <sheetName val="NOTA 12 - Wartość firmy"/>
      <sheetName val="NOTA 13,14 - Udziały,poz.akt"/>
      <sheetName val="NOTA 15 -Akt. fin."/>
      <sheetName val="NOTA 16,17 - Należności"/>
      <sheetName val="NOTA 17a - RMK"/>
      <sheetName val="NOTA 18 - Środki pieniężne"/>
      <sheetName val="NOTA  19,20,21- Kapitały"/>
      <sheetName val="NOTA 22 Kredyty i pożyczki"/>
      <sheetName val="NOTA 23 Zobowiązania finansowe"/>
      <sheetName val="NOTA 24,25 - Zob. hand i pozost"/>
      <sheetName val="NOTA 26 - RMP"/>
      <sheetName val="NOTA 27,28 - Rezerwy"/>
      <sheetName val="NOTA 29 - Zarządzanie ryzykiem"/>
      <sheetName val="NOTA 30 - Wpływ COVID-19"/>
      <sheetName val="NOTA 32 - Zarządzanie kapitałem"/>
      <sheetName val="NOTA 33 - Podmioty powiązane"/>
      <sheetName val="NOTA 34- Wynagrodzenie kadry "/>
      <sheetName val="NOTA 35 - Sruktura zatrudnienia"/>
      <sheetName val="NOTA 39 - Program opcji"/>
      <sheetName val="NOTA 40 - Wynagrodzenie BR"/>
      <sheetName val="NOTA 41 - Objasnienia do RPP"/>
      <sheetName val="Arkusz1"/>
    </sheetNames>
    <sheetDataSet>
      <sheetData sheetId="0" refreshError="1"/>
      <sheetData sheetId="1" refreshError="1"/>
      <sheetData sheetId="2">
        <row r="3">
          <cell r="D3">
            <v>79872400</v>
          </cell>
          <cell r="E3">
            <v>67492216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wybrane dane finansowe"/>
      <sheetName val="RZiS"/>
      <sheetName val="Skr. spr. z cał. dochodów"/>
      <sheetName val="Aktywa"/>
      <sheetName val="Pasywa"/>
      <sheetName val="ZZwK"/>
      <sheetName val="RPP"/>
      <sheetName val="NOTA 1,2 - Przychody i segmenty"/>
      <sheetName val="NOTA 3 - Koszty rodzajowe"/>
      <sheetName val="NOTA 4 - PPO i PKO"/>
      <sheetName val="NOTA 5 - PF i KF"/>
      <sheetName val="NOTA 6 - Podatek "/>
      <sheetName val="NOTA 7 - Działalność zaniechana"/>
      <sheetName val="NOTA 8,9 - Zysk na 1 akcję"/>
      <sheetName val="NOTA 10,11 -Poz.dochody całko."/>
      <sheetName val="NOTA 12 - Wartość godziwa"/>
      <sheetName val="NOTA 13 -Rzeczowe aktywa trwałe"/>
      <sheetName val="NOTA 14 -Wartości niematerialne"/>
      <sheetName val="NOTA 15 - Wartość firmy"/>
      <sheetName val="NOTA 16 - Nieruchomości inwest"/>
      <sheetName val="NOTA 17 - Inwest. jedn. stow."/>
      <sheetName val="NOTA 18,19  Pozost. akt.trw"/>
      <sheetName val="NOTA 20,21,22 -Akt. fin."/>
      <sheetName val="NOTA 23 - Zapasy"/>
      <sheetName val="NOTA 24 - Umowy długoterminowe"/>
      <sheetName val="NOTA 25,26 - Należności"/>
      <sheetName val="NOTA 27 - RMK"/>
      <sheetName val="NOTA 28 - Środki pieniężne"/>
      <sheetName val="NOTA  29,30,31,32- Kapitały"/>
      <sheetName val="NOTA 33 Kredyty i pożyczki"/>
      <sheetName val="NOTA 34 Zobowiązania finansowe"/>
      <sheetName val="NOTA 35 - Zob. długoterm."/>
      <sheetName val="NOTA 36,37 - Zob. hand i pozost"/>
      <sheetName val="NOTA 38,39 - ZFŚS, Zob. warunko"/>
      <sheetName val="NOTA 40 - Leasing"/>
      <sheetName val="NOTA 41 - RMP"/>
      <sheetName val="NOTA 42,43 - Rezerwy"/>
      <sheetName val="NOTA 44 - Zarządzanie ryzykiem"/>
      <sheetName val="NOTA 45 - Instrumenty finansowe"/>
      <sheetName val="NOTA 46 - Zarządzanie kapitałem"/>
      <sheetName val="NOTA 47 Świadczenia pracownicze"/>
      <sheetName val="NOTA 48 - Podmioty powiązane"/>
      <sheetName val="NOTA 49- Wynagrodzenie kadry "/>
      <sheetName val="NOTA 50 - Sruktura zatrudnienia"/>
      <sheetName val="NOTA 52 - Aktywowane koszty"/>
      <sheetName val="NOTA 59 - Sprawozdanie skonsol."/>
      <sheetName val="NOTA 60 - Wynagrodzenie BR"/>
      <sheetName val="NOTA 61 - Objasnienia do RPP"/>
      <sheetName val="Arkusz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>
            <v>18879368</v>
          </cell>
          <cell r="E5">
            <v>14712781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wybrane dane finansowe"/>
      <sheetName val="RZiS"/>
      <sheetName val="Skr. spr. z cał. dochodów"/>
      <sheetName val="Aktywa"/>
      <sheetName val="Pasywa"/>
      <sheetName val="ZZwK"/>
      <sheetName val="RPP"/>
      <sheetName val="NOTA 1,2 - Przychody i segmenty"/>
      <sheetName val="NOTA 3 - Koszty rodzajowe"/>
      <sheetName val="NOTA 4 - PPO i PKO"/>
      <sheetName val="NOTA 5 - PF i KF"/>
      <sheetName val="NOTA 6 - Podatek "/>
      <sheetName val="NOTA 7 - Działalność zaniechana"/>
      <sheetName val="NOTA 8,9 - Zysk na 1 akcję"/>
      <sheetName val="NOTA 10,11 -Poz.dochody całko."/>
      <sheetName val="NOTA 12 - Wartość godziwa"/>
      <sheetName val="NOTA 13 -Rzeczowe aktywa trwałe"/>
      <sheetName val="NOTA 14 -Wartości niematerialne"/>
      <sheetName val="NOTA 15 - Wartość firmy"/>
      <sheetName val="NOTA 16 - Nieruchomości inwest"/>
      <sheetName val="NOTA 17 - Inwest. jedn. stow."/>
      <sheetName val="NOTA 18,19  Pozost. akt.trw"/>
      <sheetName val="NOTA 20,21,22 -Akt. fin."/>
      <sheetName val="NOTA 23 - Zapasy"/>
      <sheetName val="NOTA 24 - Umowy długoterminowe"/>
      <sheetName val="NOTA 25,26 - Należności"/>
      <sheetName val="NOTA 27 - RMK"/>
      <sheetName val="NOTA 28 - Środki pieniężne"/>
      <sheetName val="NOTA  29,30,31,32- Kapitały"/>
      <sheetName val="NOTA 33 Kredyty i pożyczki"/>
      <sheetName val="NOTA 34 Zobowiązania finansowe"/>
      <sheetName val="NOTA 35 - Zob. długoterm."/>
      <sheetName val="NOTA 36,37 - Zob. hand i pozost"/>
      <sheetName val="NOTA 38,39 - ZFŚS, Zob. warunko"/>
      <sheetName val="NOTA 40 - Leasing"/>
      <sheetName val="NOTA 41 - RMP"/>
      <sheetName val="NOTA 42,43 - Rezerwy"/>
      <sheetName val="NOTA 44 - Zarządzanie ryzykiem"/>
      <sheetName val="NOTA 45 - Instrumenty finansowe"/>
      <sheetName val="NOTA 46 - Zarządzanie kapitałem"/>
      <sheetName val="NOTA 47 Świadczenia pracownicze"/>
      <sheetName val="NOTA 48 - Podmioty powiązane"/>
      <sheetName val="NOTA 49- Wynagrodzenie kadry "/>
      <sheetName val="NOTA 50 - Sruktura zatrudnienia"/>
      <sheetName val="NOTA 52 - Aktywowane koszty"/>
      <sheetName val="NOTA 59 - Sprawozdanie skonsol."/>
      <sheetName val="NOTA 60 - Wynagrodzenie BR"/>
      <sheetName val="NOTA 61 - Objasnienia do RPP"/>
      <sheetName val="Arkusz1"/>
    </sheetNames>
    <sheetDataSet>
      <sheetData sheetId="0">
        <row r="7">
          <cell r="B7" t="str">
            <v>01.01.2014 - 31.12.2014</v>
          </cell>
        </row>
      </sheetData>
      <sheetData sheetId="1" refreshError="1"/>
      <sheetData sheetId="2" refreshError="1"/>
      <sheetData sheetId="3" refreshError="1"/>
      <sheetData sheetId="4">
        <row r="10">
          <cell r="E10">
            <v>107262</v>
          </cell>
        </row>
      </sheetData>
      <sheetData sheetId="5">
        <row r="5">
          <cell r="D5">
            <v>221550</v>
          </cell>
          <cell r="E5">
            <v>221550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7">
          <cell r="B7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78">
          <cell r="C78">
            <v>221550</v>
          </cell>
          <cell r="D78">
            <v>221550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sumowanie"/>
      <sheetName val="SARE"/>
      <sheetName val="INIS"/>
      <sheetName val="VT"/>
      <sheetName val="JU"/>
      <sheetName val="SI"/>
      <sheetName val="FWC"/>
      <sheetName val="SL"/>
      <sheetName val="CB"/>
    </sheetNames>
    <sheetDataSet>
      <sheetData sheetId="0"/>
      <sheetData sheetId="1">
        <row r="5">
          <cell r="B5">
            <v>0</v>
          </cell>
        </row>
        <row r="6">
          <cell r="B6">
            <v>0</v>
          </cell>
        </row>
      </sheetData>
      <sheetData sheetId="2">
        <row r="5">
          <cell r="B5">
            <v>0</v>
          </cell>
        </row>
        <row r="6">
          <cell r="B6">
            <v>0</v>
          </cell>
        </row>
      </sheetData>
      <sheetData sheetId="3">
        <row r="5">
          <cell r="B5">
            <v>0</v>
          </cell>
        </row>
        <row r="6">
          <cell r="B6">
            <v>0</v>
          </cell>
        </row>
      </sheetData>
      <sheetData sheetId="4">
        <row r="5">
          <cell r="B5">
            <v>0</v>
          </cell>
        </row>
        <row r="6">
          <cell r="B6">
            <v>0</v>
          </cell>
        </row>
      </sheetData>
      <sheetData sheetId="5">
        <row r="5">
          <cell r="B5">
            <v>0</v>
          </cell>
        </row>
        <row r="6">
          <cell r="B6">
            <v>0</v>
          </cell>
        </row>
      </sheetData>
      <sheetData sheetId="6">
        <row r="5">
          <cell r="B5">
            <v>0</v>
          </cell>
        </row>
        <row r="6">
          <cell r="B6">
            <v>0</v>
          </cell>
        </row>
      </sheetData>
      <sheetData sheetId="7">
        <row r="5">
          <cell r="B5">
            <v>0</v>
          </cell>
        </row>
        <row r="6">
          <cell r="B6">
            <v>0</v>
          </cell>
        </row>
      </sheetData>
      <sheetData sheetId="8">
        <row r="5">
          <cell r="B5">
            <v>0</v>
          </cell>
        </row>
        <row r="6">
          <cell r="B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E17"/>
  <sheetViews>
    <sheetView showGridLines="0" view="pageBreakPreview" zoomScaleNormal="75" workbookViewId="0">
      <selection activeCell="B18" sqref="B18"/>
    </sheetView>
  </sheetViews>
  <sheetFormatPr defaultColWidth="9.33203125" defaultRowHeight="13.2"/>
  <cols>
    <col min="1" max="1" width="51.6640625" style="265" customWidth="1"/>
    <col min="2" max="2" width="36.33203125" style="264" customWidth="1"/>
    <col min="3" max="3" width="29.44140625" style="264" customWidth="1"/>
    <col min="4" max="4" width="9.33203125" style="261"/>
    <col min="5" max="5" width="0" style="261" hidden="1" customWidth="1"/>
    <col min="6" max="16384" width="9.33203125" style="261"/>
  </cols>
  <sheetData>
    <row r="1" spans="1:5" s="259" customFormat="1" ht="27" thickBot="1">
      <c r="A1" s="258"/>
      <c r="B1" s="372" t="s">
        <v>305</v>
      </c>
      <c r="C1" s="373" t="s">
        <v>306</v>
      </c>
    </row>
    <row r="2" spans="1:5" ht="28.2" customHeight="1">
      <c r="A2" s="260" t="s">
        <v>307</v>
      </c>
      <c r="B2" s="374" t="s">
        <v>659</v>
      </c>
      <c r="C2" s="375" t="s">
        <v>308</v>
      </c>
    </row>
    <row r="3" spans="1:5" ht="29.25" customHeight="1">
      <c r="A3" s="262"/>
      <c r="B3" s="263"/>
    </row>
    <row r="4" spans="1:5" ht="29.25" customHeight="1">
      <c r="A4" s="260" t="s">
        <v>309</v>
      </c>
      <c r="B4" s="374" t="s">
        <v>529</v>
      </c>
      <c r="C4" s="375" t="s">
        <v>375</v>
      </c>
    </row>
    <row r="5" spans="1:5">
      <c r="B5" s="266"/>
    </row>
    <row r="6" spans="1:5">
      <c r="A6" s="260" t="s">
        <v>406</v>
      </c>
      <c r="B6" s="267"/>
    </row>
    <row r="7" spans="1:5" ht="13.95" customHeight="1">
      <c r="A7" s="265" t="s">
        <v>5</v>
      </c>
      <c r="B7" s="376" t="s">
        <v>997</v>
      </c>
      <c r="C7" s="375" t="s">
        <v>401</v>
      </c>
    </row>
    <row r="8" spans="1:5" ht="13.95" customHeight="1">
      <c r="A8" s="265" t="s">
        <v>310</v>
      </c>
      <c r="B8" s="414">
        <v>44562</v>
      </c>
      <c r="C8" s="375" t="s">
        <v>401</v>
      </c>
    </row>
    <row r="9" spans="1:5">
      <c r="A9" s="265" t="s">
        <v>311</v>
      </c>
      <c r="B9" s="414">
        <v>44926</v>
      </c>
      <c r="C9" s="375" t="s">
        <v>402</v>
      </c>
    </row>
    <row r="11" spans="1:5">
      <c r="A11" s="335" t="s">
        <v>407</v>
      </c>
    </row>
    <row r="12" spans="1:5">
      <c r="A12" s="265" t="s">
        <v>5</v>
      </c>
      <c r="B12" s="376" t="s">
        <v>843</v>
      </c>
      <c r="C12" s="375" t="s">
        <v>403</v>
      </c>
    </row>
    <row r="13" spans="1:5">
      <c r="A13" s="265" t="s">
        <v>310</v>
      </c>
      <c r="B13" s="414">
        <v>44197</v>
      </c>
      <c r="C13" s="375" t="s">
        <v>404</v>
      </c>
    </row>
    <row r="14" spans="1:5">
      <c r="A14" s="265" t="s">
        <v>311</v>
      </c>
      <c r="B14" s="414">
        <v>44561</v>
      </c>
      <c r="C14" s="375" t="s">
        <v>405</v>
      </c>
    </row>
    <row r="16" spans="1:5">
      <c r="A16" s="265" t="s">
        <v>317</v>
      </c>
      <c r="B16" s="377" t="s">
        <v>593</v>
      </c>
      <c r="C16" s="378" t="s">
        <v>342</v>
      </c>
      <c r="E16" s="261">
        <f>IF(C16="nie",0,IF(C16="tak",1,2))</f>
        <v>2</v>
      </c>
    </row>
    <row r="17" spans="3:3">
      <c r="C17" s="268"/>
    </row>
  </sheetData>
  <phoneticPr fontId="12" type="noConversion"/>
  <pageMargins left="0.75" right="0.75" top="1" bottom="1" header="0.5" footer="0.5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B1:D29"/>
  <sheetViews>
    <sheetView showGridLines="0" zoomScaleNormal="100" zoomScaleSheetLayoutView="100" workbookViewId="0">
      <selection activeCell="B23" sqref="B23:D27"/>
    </sheetView>
  </sheetViews>
  <sheetFormatPr defaultColWidth="9.33203125" defaultRowHeight="13.2"/>
  <cols>
    <col min="1" max="1" width="3.33203125" customWidth="1"/>
    <col min="2" max="2" width="50.6640625" customWidth="1"/>
    <col min="3" max="4" width="13.6640625" customWidth="1"/>
  </cols>
  <sheetData>
    <row r="1" spans="2:4">
      <c r="B1" s="38"/>
    </row>
    <row r="2" spans="2:4" s="44" customFormat="1">
      <c r="B2" s="381" t="s">
        <v>508</v>
      </c>
    </row>
    <row r="3" spans="2:4">
      <c r="B3" s="1"/>
      <c r="C3" s="1"/>
      <c r="D3" s="1"/>
    </row>
    <row r="4" spans="2:4" ht="20.399999999999999">
      <c r="B4" s="115" t="s">
        <v>523</v>
      </c>
      <c r="C4" s="115" t="str">
        <f>'Dane podstawowe'!$B$7</f>
        <v>01.01.2022-31.12.2022</v>
      </c>
      <c r="D4" s="115" t="str">
        <f>'Dane podstawowe'!$B$12</f>
        <v>01.01.2021-31.12.2021</v>
      </c>
    </row>
    <row r="5" spans="2:4">
      <c r="B5" s="54" t="s">
        <v>28</v>
      </c>
      <c r="C5" s="152">
        <f>RZiS!D8</f>
        <v>2931388</v>
      </c>
      <c r="D5" s="152">
        <f>RZiS!E8</f>
        <v>3474656</v>
      </c>
    </row>
    <row r="6" spans="2:4">
      <c r="B6" s="54" t="s">
        <v>29</v>
      </c>
      <c r="C6" s="152">
        <f>RZiS!D9</f>
        <v>319244</v>
      </c>
      <c r="D6" s="152">
        <f>RZiS!E9</f>
        <v>270856</v>
      </c>
    </row>
    <row r="7" spans="2:4">
      <c r="B7" s="54" t="s">
        <v>30</v>
      </c>
      <c r="C7" s="152">
        <f>RZiS!D10</f>
        <v>57782313</v>
      </c>
      <c r="D7" s="152">
        <f>RZiS!E10</f>
        <v>46244676</v>
      </c>
    </row>
    <row r="8" spans="2:4">
      <c r="B8" s="54" t="s">
        <v>31</v>
      </c>
      <c r="C8" s="152">
        <f>RZiS!D11</f>
        <v>175503</v>
      </c>
      <c r="D8" s="152">
        <f>RZiS!E11</f>
        <v>168592</v>
      </c>
    </row>
    <row r="9" spans="2:4">
      <c r="B9" s="54" t="s">
        <v>198</v>
      </c>
      <c r="C9" s="152">
        <f>RZiS!D12</f>
        <v>16155971</v>
      </c>
      <c r="D9" s="152">
        <f>RZiS!E12</f>
        <v>13990430</v>
      </c>
    </row>
    <row r="10" spans="2:4">
      <c r="B10" s="54" t="s">
        <v>199</v>
      </c>
      <c r="C10" s="152">
        <f>RZiS!D13</f>
        <v>3232846</v>
      </c>
      <c r="D10" s="152">
        <f>RZiS!E13</f>
        <v>2551043</v>
      </c>
    </row>
    <row r="11" spans="2:4">
      <c r="B11" s="54" t="s">
        <v>32</v>
      </c>
      <c r="C11" s="152">
        <f>RZiS!D14</f>
        <v>1195401</v>
      </c>
      <c r="D11" s="152">
        <f>RZiS!E14</f>
        <v>1489203</v>
      </c>
    </row>
    <row r="12" spans="2:4">
      <c r="B12" s="54" t="s">
        <v>33</v>
      </c>
      <c r="C12" s="152">
        <f>RZiS!D15</f>
        <v>0</v>
      </c>
      <c r="D12" s="152">
        <f>RZiS!E15</f>
        <v>0</v>
      </c>
    </row>
    <row r="13" spans="2:4">
      <c r="B13" s="55" t="s">
        <v>602</v>
      </c>
      <c r="C13" s="434">
        <f>SUM(C5:C12)</f>
        <v>81792666</v>
      </c>
      <c r="D13" s="434">
        <f>SUM(D5:D12)</f>
        <v>68189456</v>
      </c>
    </row>
    <row r="14" spans="2:4" hidden="1">
      <c r="B14" s="46" t="s">
        <v>34</v>
      </c>
      <c r="C14" s="435"/>
      <c r="D14" s="152"/>
    </row>
    <row r="15" spans="2:4" ht="21" hidden="1">
      <c r="B15" s="46" t="s">
        <v>200</v>
      </c>
      <c r="C15" s="435"/>
      <c r="D15" s="152"/>
    </row>
    <row r="16" spans="2:4" hidden="1">
      <c r="B16" s="46" t="s">
        <v>201</v>
      </c>
      <c r="C16" s="436"/>
      <c r="D16" s="152"/>
    </row>
    <row r="17" spans="2:4" hidden="1">
      <c r="B17" s="46" t="s">
        <v>202</v>
      </c>
      <c r="C17" s="435"/>
      <c r="D17" s="78"/>
    </row>
    <row r="18" spans="2:4" hidden="1">
      <c r="B18" s="61" t="s">
        <v>103</v>
      </c>
      <c r="C18" s="434">
        <f>SUM(C13:C17)</f>
        <v>81792666</v>
      </c>
      <c r="D18" s="434">
        <f>SUM(D13:D17)</f>
        <v>68189456</v>
      </c>
    </row>
    <row r="19" spans="2:4">
      <c r="B19" s="57"/>
      <c r="C19" s="293">
        <f>RZiS!D7-'NOTA 3 - Koszty rodzajowe'!C18</f>
        <v>0</v>
      </c>
      <c r="D19" s="293">
        <f>RZiS!E7-'NOTA 3 - Koszty rodzajowe'!D18</f>
        <v>0</v>
      </c>
    </row>
    <row r="20" spans="2:4">
      <c r="B20" s="1"/>
      <c r="C20" s="1"/>
      <c r="D20" s="1"/>
    </row>
    <row r="21" spans="2:4">
      <c r="B21" s="3" t="s">
        <v>377</v>
      </c>
      <c r="C21" s="1"/>
      <c r="D21" s="1"/>
    </row>
    <row r="22" spans="2:4">
      <c r="B22" s="3"/>
      <c r="C22" s="1"/>
      <c r="D22" s="1"/>
    </row>
    <row r="23" spans="2:4" ht="20.399999999999999">
      <c r="B23" s="115" t="s">
        <v>592</v>
      </c>
      <c r="C23" s="115" t="str">
        <f>'Dane podstawowe'!$B$7</f>
        <v>01.01.2022-31.12.2022</v>
      </c>
      <c r="D23" s="115" t="str">
        <f>'Dane podstawowe'!$B$12</f>
        <v>01.01.2021-31.12.2021</v>
      </c>
    </row>
    <row r="24" spans="2:4">
      <c r="B24" s="59" t="s">
        <v>35</v>
      </c>
      <c r="C24" s="152">
        <v>332770</v>
      </c>
      <c r="D24" s="152">
        <v>325068</v>
      </c>
    </row>
    <row r="25" spans="2:4">
      <c r="B25" s="59" t="s">
        <v>36</v>
      </c>
      <c r="C25" s="152">
        <v>1730140</v>
      </c>
      <c r="D25" s="152">
        <v>2249065</v>
      </c>
    </row>
    <row r="26" spans="2:4">
      <c r="B26" s="59" t="s">
        <v>675</v>
      </c>
      <c r="C26" s="152">
        <v>868478</v>
      </c>
      <c r="D26" s="152">
        <v>900523</v>
      </c>
    </row>
    <row r="27" spans="2:4">
      <c r="B27" s="85" t="s">
        <v>25</v>
      </c>
      <c r="C27" s="434">
        <f>SUM(C24:C26)</f>
        <v>2931388</v>
      </c>
      <c r="D27" s="434">
        <f>SUM(D24:D26)</f>
        <v>3474656</v>
      </c>
    </row>
    <row r="28" spans="2:4">
      <c r="B28" s="57"/>
      <c r="C28" s="437">
        <f>C27-RZiS!D8</f>
        <v>0</v>
      </c>
      <c r="D28" s="437">
        <f>D27-RZiS!E8</f>
        <v>0</v>
      </c>
    </row>
    <row r="29" spans="2:4">
      <c r="B29" s="57"/>
      <c r="C29" s="57"/>
      <c r="D29" s="57"/>
    </row>
  </sheetData>
  <phoneticPr fontId="37" type="noConversion"/>
  <pageMargins left="0.75" right="0.75" top="1" bottom="1" header="0.5" footer="0.5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G49"/>
  <sheetViews>
    <sheetView showGridLines="0" zoomScaleNormal="100" zoomScaleSheetLayoutView="148" workbookViewId="0">
      <selection activeCell="A7" sqref="A7"/>
    </sheetView>
  </sheetViews>
  <sheetFormatPr defaultColWidth="9.33203125" defaultRowHeight="13.2"/>
  <cols>
    <col min="1" max="1" width="45.5546875" customWidth="1"/>
    <col min="2" max="3" width="17" style="322" customWidth="1"/>
  </cols>
  <sheetData>
    <row r="1" spans="1:7" s="62" customFormat="1">
      <c r="A1" s="38"/>
      <c r="B1" s="319"/>
      <c r="C1" s="319"/>
    </row>
    <row r="2" spans="1:7" s="44" customFormat="1" ht="10.199999999999999">
      <c r="B2" s="355"/>
      <c r="C2" s="355"/>
    </row>
    <row r="3" spans="1:7" s="458" customFormat="1">
      <c r="A3" s="381" t="s">
        <v>509</v>
      </c>
    </row>
    <row r="4" spans="1:7" s="44" customFormat="1" ht="10.199999999999999">
      <c r="A4" s="3"/>
      <c r="B4" s="355"/>
      <c r="C4" s="355"/>
    </row>
    <row r="5" spans="1:7" s="438" customFormat="1" ht="10.199999999999999">
      <c r="A5" s="115" t="s">
        <v>234</v>
      </c>
      <c r="B5" s="320" t="s">
        <v>997</v>
      </c>
      <c r="C5" s="320" t="s">
        <v>843</v>
      </c>
      <c r="G5" s="577"/>
    </row>
    <row r="6" spans="1:7" s="438" customFormat="1" ht="10.199999999999999">
      <c r="A6" s="46" t="s">
        <v>676</v>
      </c>
      <c r="B6" s="150">
        <v>1741545</v>
      </c>
      <c r="C6" s="150">
        <v>268629</v>
      </c>
      <c r="G6" s="577"/>
    </row>
    <row r="7" spans="1:7" s="438" customFormat="1" ht="10.199999999999999">
      <c r="A7" s="621" t="s">
        <v>1039</v>
      </c>
      <c r="B7" s="622">
        <v>837218</v>
      </c>
      <c r="C7" s="150">
        <v>0</v>
      </c>
      <c r="G7" s="577"/>
    </row>
    <row r="8" spans="1:7" s="438" customFormat="1" ht="10.199999999999999">
      <c r="A8" s="46" t="s">
        <v>601</v>
      </c>
      <c r="B8" s="150">
        <v>20360</v>
      </c>
      <c r="C8" s="150">
        <v>25103</v>
      </c>
      <c r="G8" s="577"/>
    </row>
    <row r="9" spans="1:7" s="438" customFormat="1" ht="10.199999999999999">
      <c r="A9" s="46" t="s">
        <v>621</v>
      </c>
      <c r="B9" s="150">
        <v>16369</v>
      </c>
      <c r="C9" s="150">
        <v>9535</v>
      </c>
      <c r="G9" s="577"/>
    </row>
    <row r="10" spans="1:7" s="438" customFormat="1" ht="10.199999999999999">
      <c r="A10" s="46" t="s">
        <v>204</v>
      </c>
      <c r="B10" s="150">
        <v>2574</v>
      </c>
      <c r="C10" s="150">
        <v>5826</v>
      </c>
      <c r="G10" s="577"/>
    </row>
    <row r="11" spans="1:7" s="438" customFormat="1" ht="10.199999999999999">
      <c r="A11" s="46" t="s">
        <v>869</v>
      </c>
      <c r="B11" s="150">
        <v>0</v>
      </c>
      <c r="C11" s="150">
        <v>961261</v>
      </c>
      <c r="G11" s="577"/>
    </row>
    <row r="12" spans="1:7" s="44" customFormat="1" ht="10.199999999999999">
      <c r="A12" s="46" t="s">
        <v>870</v>
      </c>
      <c r="B12" s="150">
        <v>0</v>
      </c>
      <c r="C12" s="150">
        <v>115260</v>
      </c>
      <c r="E12" s="538"/>
      <c r="F12" s="539"/>
      <c r="G12" s="539"/>
    </row>
    <row r="13" spans="1:7" s="44" customFormat="1" ht="10.199999999999999">
      <c r="A13" s="46" t="s">
        <v>737</v>
      </c>
      <c r="B13" s="150">
        <v>0</v>
      </c>
      <c r="C13" s="150">
        <v>6898</v>
      </c>
    </row>
    <row r="14" spans="1:7" s="44" customFormat="1" ht="10.199999999999999" hidden="1">
      <c r="A14" s="46" t="s">
        <v>735</v>
      </c>
      <c r="B14" s="150"/>
      <c r="C14" s="150">
        <v>0</v>
      </c>
    </row>
    <row r="15" spans="1:7" s="44" customFormat="1" ht="10.199999999999999" hidden="1">
      <c r="A15" s="46" t="s">
        <v>736</v>
      </c>
      <c r="B15" s="150"/>
      <c r="C15" s="150">
        <v>0</v>
      </c>
    </row>
    <row r="16" spans="1:7" s="44" customFormat="1" ht="10.199999999999999" hidden="1">
      <c r="A16" s="537" t="s">
        <v>232</v>
      </c>
      <c r="B16" s="150"/>
      <c r="C16" s="150">
        <v>0</v>
      </c>
    </row>
    <row r="17" spans="1:3" s="44" customFormat="1" ht="10.199999999999999" hidden="1">
      <c r="A17" s="46"/>
      <c r="B17" s="150"/>
      <c r="C17" s="150"/>
    </row>
    <row r="18" spans="1:3" s="44" customFormat="1" ht="10.199999999999999">
      <c r="A18" s="537" t="s">
        <v>494</v>
      </c>
      <c r="B18" s="150">
        <v>34716</v>
      </c>
      <c r="C18" s="150">
        <v>41874</v>
      </c>
    </row>
    <row r="19" spans="1:3" s="44" customFormat="1" ht="10.199999999999999" hidden="1">
      <c r="A19" s="46"/>
      <c r="B19" s="150"/>
      <c r="C19" s="150"/>
    </row>
    <row r="20" spans="1:3" s="51" customFormat="1" ht="10.199999999999999">
      <c r="A20" s="66" t="s">
        <v>25</v>
      </c>
      <c r="B20" s="80">
        <f>SUM(B6:B19)</f>
        <v>2652782</v>
      </c>
      <c r="C20" s="80">
        <f>SUM(C6:C19)</f>
        <v>1434386</v>
      </c>
    </row>
    <row r="21" spans="1:3" s="44" customFormat="1" ht="10.199999999999999">
      <c r="A21" s="64"/>
      <c r="B21" s="294">
        <f>RZiS!D18-B20</f>
        <v>0</v>
      </c>
      <c r="C21" s="294">
        <f>RZiS!E18-C20</f>
        <v>0</v>
      </c>
    </row>
    <row r="22" spans="1:3" s="44" customFormat="1" ht="10.199999999999999">
      <c r="A22" s="65"/>
      <c r="B22" s="321"/>
      <c r="C22" s="321"/>
    </row>
    <row r="23" spans="1:3" s="44" customFormat="1" ht="10.199999999999999">
      <c r="A23" s="65" t="s">
        <v>831</v>
      </c>
      <c r="B23" s="321"/>
      <c r="C23" s="321"/>
    </row>
    <row r="24" spans="1:3" s="44" customFormat="1" ht="10.199999999999999">
      <c r="A24" s="65"/>
      <c r="B24" s="321"/>
      <c r="C24" s="321"/>
    </row>
    <row r="25" spans="1:3" s="44" customFormat="1" ht="10.199999999999999">
      <c r="A25" s="65"/>
      <c r="B25" s="321"/>
      <c r="C25" s="321"/>
    </row>
    <row r="26" spans="1:3" s="44" customFormat="1" ht="10.199999999999999">
      <c r="A26" s="560" t="s">
        <v>816</v>
      </c>
      <c r="B26" s="560" t="s">
        <v>997</v>
      </c>
      <c r="C26" s="561" t="s">
        <v>843</v>
      </c>
    </row>
    <row r="27" spans="1:3" s="44" customFormat="1" ht="30.6">
      <c r="A27" s="624" t="s">
        <v>871</v>
      </c>
      <c r="B27" s="623">
        <v>1517538</v>
      </c>
      <c r="C27" s="623">
        <v>130875</v>
      </c>
    </row>
    <row r="28" spans="1:3" s="44" customFormat="1" ht="20.399999999999999">
      <c r="A28" s="624" t="s">
        <v>1040</v>
      </c>
      <c r="B28" s="623">
        <v>135853</v>
      </c>
      <c r="C28" s="623">
        <v>49410</v>
      </c>
    </row>
    <row r="29" spans="1:3" s="44" customFormat="1" ht="20.399999999999999">
      <c r="A29" s="624" t="s">
        <v>830</v>
      </c>
      <c r="B29" s="623">
        <v>88154</v>
      </c>
      <c r="C29" s="623">
        <v>88344</v>
      </c>
    </row>
    <row r="30" spans="1:3" s="44" customFormat="1">
      <c r="A30" s="557" t="s">
        <v>815</v>
      </c>
      <c r="B30" s="551">
        <f>SUM(B27:B29)</f>
        <v>1741545</v>
      </c>
      <c r="C30" s="551">
        <f>SUM(C27:C29)</f>
        <v>268629</v>
      </c>
    </row>
    <row r="31" spans="1:3" s="44" customFormat="1" ht="10.199999999999999">
      <c r="A31" s="65"/>
      <c r="B31" s="321"/>
      <c r="C31" s="321"/>
    </row>
    <row r="32" spans="1:3" s="44" customFormat="1" ht="10.199999999999999">
      <c r="A32" s="65"/>
      <c r="B32" s="321"/>
      <c r="C32" s="321"/>
    </row>
    <row r="33" spans="1:3" s="44" customFormat="1" ht="10.199999999999999">
      <c r="A33" s="65"/>
      <c r="B33" s="321"/>
      <c r="C33" s="321"/>
    </row>
    <row r="34" spans="1:3" s="44" customFormat="1" ht="10.199999999999999">
      <c r="A34" s="461" t="s">
        <v>235</v>
      </c>
      <c r="B34" s="320" t="str">
        <f>B5</f>
        <v>01.01.2022-31.12.2022</v>
      </c>
      <c r="C34" s="320" t="str">
        <f>C5</f>
        <v>01.01.2021-31.12.2021</v>
      </c>
    </row>
    <row r="35" spans="1:3" s="44" customFormat="1" ht="10.199999999999999">
      <c r="A35" s="626" t="s">
        <v>233</v>
      </c>
      <c r="B35" s="625">
        <v>22449</v>
      </c>
      <c r="C35" s="625">
        <v>2270</v>
      </c>
    </row>
    <row r="36" spans="1:3" s="44" customFormat="1" ht="10.199999999999999">
      <c r="A36" s="627" t="s">
        <v>621</v>
      </c>
      <c r="B36" s="625">
        <v>16369</v>
      </c>
      <c r="C36" s="625">
        <v>8546</v>
      </c>
    </row>
    <row r="37" spans="1:3" s="44" customFormat="1" ht="10.199999999999999">
      <c r="A37" s="621" t="s">
        <v>535</v>
      </c>
      <c r="B37" s="625">
        <v>15083</v>
      </c>
      <c r="C37" s="625">
        <v>41548</v>
      </c>
    </row>
    <row r="38" spans="1:3" s="44" customFormat="1" ht="10.199999999999999">
      <c r="A38" s="627" t="s">
        <v>205</v>
      </c>
      <c r="B38" s="625">
        <v>5277</v>
      </c>
      <c r="C38" s="625">
        <v>2625</v>
      </c>
    </row>
    <row r="39" spans="1:3" s="44" customFormat="1" ht="10.199999999999999">
      <c r="A39" s="627" t="s">
        <v>536</v>
      </c>
      <c r="B39" s="625">
        <v>2357</v>
      </c>
      <c r="C39" s="625">
        <v>500</v>
      </c>
    </row>
    <row r="40" spans="1:3" s="44" customFormat="1" ht="10.199999999999999">
      <c r="A40" s="621" t="s">
        <v>738</v>
      </c>
      <c r="B40" s="625">
        <v>0</v>
      </c>
      <c r="C40" s="625">
        <v>177519</v>
      </c>
    </row>
    <row r="41" spans="1:3" s="44" customFormat="1" ht="10.199999999999999">
      <c r="A41" s="621" t="s">
        <v>739</v>
      </c>
      <c r="B41" s="625">
        <v>0</v>
      </c>
      <c r="C41" s="625">
        <v>73032</v>
      </c>
    </row>
    <row r="42" spans="1:3" s="44" customFormat="1" ht="10.199999999999999">
      <c r="A42" s="621" t="s">
        <v>742</v>
      </c>
      <c r="B42" s="625">
        <v>0</v>
      </c>
      <c r="C42" s="625">
        <v>25600</v>
      </c>
    </row>
    <row r="43" spans="1:3" s="44" customFormat="1" ht="10.199999999999999">
      <c r="A43" s="621" t="s">
        <v>741</v>
      </c>
      <c r="B43" s="625">
        <v>0</v>
      </c>
      <c r="C43" s="625">
        <v>21245</v>
      </c>
    </row>
    <row r="44" spans="1:3" s="44" customFormat="1" ht="10.199999999999999" hidden="1">
      <c r="A44" s="627" t="s">
        <v>740</v>
      </c>
      <c r="B44" s="625">
        <v>0</v>
      </c>
      <c r="C44" s="625">
        <v>0</v>
      </c>
    </row>
    <row r="45" spans="1:3" s="44" customFormat="1" ht="10.199999999999999" hidden="1">
      <c r="A45" s="621" t="s">
        <v>622</v>
      </c>
      <c r="B45" s="625">
        <v>0</v>
      </c>
      <c r="C45" s="625">
        <v>0</v>
      </c>
    </row>
    <row r="46" spans="1:3" s="44" customFormat="1" ht="10.199999999999999">
      <c r="A46" s="621" t="s">
        <v>494</v>
      </c>
      <c r="B46" s="625">
        <v>31005</v>
      </c>
      <c r="C46" s="625">
        <v>39645</v>
      </c>
    </row>
    <row r="47" spans="1:3" s="51" customFormat="1" ht="10.199999999999999">
      <c r="A47" s="68" t="s">
        <v>25</v>
      </c>
      <c r="B47" s="80">
        <f>SUM(B35:B46)</f>
        <v>92540</v>
      </c>
      <c r="C47" s="80">
        <f>SUM(C35:C46)</f>
        <v>392530</v>
      </c>
    </row>
    <row r="48" spans="1:3" s="51" customFormat="1" ht="10.199999999999999">
      <c r="A48" s="12"/>
      <c r="B48" s="398">
        <f>RZiS!D19-B47</f>
        <v>0</v>
      </c>
      <c r="C48" s="398">
        <f>RZiS!E19-C47</f>
        <v>0</v>
      </c>
    </row>
    <row r="49" spans="1:1">
      <c r="A49" s="295"/>
    </row>
  </sheetData>
  <phoneticPr fontId="37" type="noConversion"/>
  <pageMargins left="0.7" right="0.7" top="0.75" bottom="0.75" header="0.3" footer="0.3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32"/>
  <sheetViews>
    <sheetView showGridLines="0" view="pageBreakPreview" zoomScaleNormal="100" zoomScaleSheetLayoutView="100" workbookViewId="0">
      <selection activeCell="A23" sqref="A23:C31"/>
    </sheetView>
  </sheetViews>
  <sheetFormatPr defaultColWidth="9.33203125" defaultRowHeight="13.2"/>
  <cols>
    <col min="1" max="1" width="42" customWidth="1"/>
    <col min="2" max="3" width="16.5546875" style="322" customWidth="1"/>
    <col min="4" max="9" width="16.5546875" customWidth="1"/>
  </cols>
  <sheetData>
    <row r="1" spans="1:3">
      <c r="A1" s="38"/>
    </row>
    <row r="2" spans="1:3">
      <c r="B2" s="323"/>
      <c r="C2" s="323"/>
    </row>
    <row r="3" spans="1:3">
      <c r="A3" s="381" t="s">
        <v>510</v>
      </c>
      <c r="B3" s="355"/>
      <c r="C3" s="355"/>
    </row>
    <row r="4" spans="1:3">
      <c r="A4" s="381"/>
      <c r="B4" s="355"/>
      <c r="C4" s="355"/>
    </row>
    <row r="5" spans="1:3">
      <c r="A5" s="137" t="s">
        <v>293</v>
      </c>
      <c r="B5" s="320" t="str">
        <f>'Dane podstawowe'!B7</f>
        <v>01.01.2022-31.12.2022</v>
      </c>
      <c r="C5" s="540" t="str">
        <f>'Dane podstawowe'!B12</f>
        <v>01.01.2021-31.12.2021</v>
      </c>
    </row>
    <row r="6" spans="1:3">
      <c r="A6" s="46" t="s">
        <v>239</v>
      </c>
      <c r="B6" s="151">
        <v>44152</v>
      </c>
      <c r="C6" s="151">
        <v>0</v>
      </c>
    </row>
    <row r="7" spans="1:3">
      <c r="A7" s="46" t="s">
        <v>332</v>
      </c>
      <c r="B7" s="399">
        <v>12942</v>
      </c>
      <c r="C7" s="399">
        <v>70070</v>
      </c>
    </row>
    <row r="8" spans="1:3">
      <c r="A8" s="46" t="s">
        <v>872</v>
      </c>
      <c r="B8" s="399">
        <v>0</v>
      </c>
      <c r="C8" s="399">
        <v>36812</v>
      </c>
    </row>
    <row r="9" spans="1:3" ht="21" hidden="1">
      <c r="A9" s="46" t="s">
        <v>236</v>
      </c>
      <c r="B9" s="153"/>
      <c r="C9" s="153"/>
    </row>
    <row r="10" spans="1:3" hidden="1">
      <c r="A10" s="46" t="s">
        <v>237</v>
      </c>
      <c r="B10" s="151"/>
      <c r="C10" s="151"/>
    </row>
    <row r="11" spans="1:3" hidden="1">
      <c r="A11" s="46" t="s">
        <v>238</v>
      </c>
      <c r="B11" s="151"/>
      <c r="C11" s="151"/>
    </row>
    <row r="12" spans="1:3" hidden="1">
      <c r="A12" s="46" t="s">
        <v>239</v>
      </c>
      <c r="B12" s="151"/>
      <c r="C12" s="151">
        <v>0</v>
      </c>
    </row>
    <row r="13" spans="1:3" hidden="1">
      <c r="A13" s="46" t="s">
        <v>240</v>
      </c>
      <c r="B13" s="151"/>
      <c r="C13" s="151"/>
    </row>
    <row r="14" spans="1:3" hidden="1">
      <c r="A14" s="46" t="s">
        <v>540</v>
      </c>
      <c r="B14" s="151"/>
      <c r="C14" s="151"/>
    </row>
    <row r="15" spans="1:3" hidden="1">
      <c r="A15" s="46" t="s">
        <v>247</v>
      </c>
      <c r="B15" s="151"/>
      <c r="C15" s="151"/>
    </row>
    <row r="16" spans="1:3" hidden="1">
      <c r="A16" s="46" t="s">
        <v>247</v>
      </c>
      <c r="B16" s="151"/>
      <c r="C16" s="151"/>
    </row>
    <row r="17" spans="1:3" hidden="1">
      <c r="A17" s="54" t="s">
        <v>706</v>
      </c>
      <c r="B17" s="151"/>
      <c r="C17" s="151"/>
    </row>
    <row r="18" spans="1:3">
      <c r="A18" s="54" t="s">
        <v>494</v>
      </c>
      <c r="B18" s="151">
        <v>8307</v>
      </c>
      <c r="C18" s="151">
        <v>300</v>
      </c>
    </row>
    <row r="19" spans="1:3">
      <c r="A19" s="55" t="s">
        <v>25</v>
      </c>
      <c r="B19" s="80">
        <f>SUM(B6:B18)</f>
        <v>65401</v>
      </c>
      <c r="C19" s="80">
        <f>SUM(C6:C18)</f>
        <v>107182</v>
      </c>
    </row>
    <row r="20" spans="1:3">
      <c r="A20" s="57"/>
      <c r="B20" s="293">
        <f>B19-RZiS!D22</f>
        <v>0</v>
      </c>
      <c r="C20" s="293">
        <f>C19-RZiS!E22</f>
        <v>0</v>
      </c>
    </row>
    <row r="21" spans="1:3">
      <c r="A21" s="57"/>
      <c r="B21" s="321"/>
      <c r="C21" s="321"/>
    </row>
    <row r="22" spans="1:3">
      <c r="A22" s="51"/>
      <c r="B22" s="355"/>
      <c r="C22" s="355"/>
    </row>
    <row r="23" spans="1:3">
      <c r="A23" s="70" t="s">
        <v>492</v>
      </c>
      <c r="B23" s="324" t="str">
        <f>B5</f>
        <v>01.01.2022-31.12.2022</v>
      </c>
      <c r="C23" s="324" t="str">
        <f>C5</f>
        <v>01.01.2021-31.12.2021</v>
      </c>
    </row>
    <row r="24" spans="1:3">
      <c r="A24" s="46" t="s">
        <v>241</v>
      </c>
      <c r="B24" s="151">
        <v>160603</v>
      </c>
      <c r="C24" s="151">
        <v>61683</v>
      </c>
    </row>
    <row r="25" spans="1:3">
      <c r="A25" s="46" t="s">
        <v>678</v>
      </c>
      <c r="B25" s="151">
        <v>105455</v>
      </c>
      <c r="C25" s="151">
        <v>42565</v>
      </c>
    </row>
    <row r="26" spans="1:3">
      <c r="A26" s="46" t="s">
        <v>743</v>
      </c>
      <c r="B26" s="151">
        <v>28325</v>
      </c>
      <c r="C26" s="151">
        <v>38385</v>
      </c>
    </row>
    <row r="27" spans="1:3">
      <c r="A27" s="46" t="s">
        <v>242</v>
      </c>
      <c r="B27" s="151">
        <v>16380</v>
      </c>
      <c r="C27" s="151">
        <v>20252</v>
      </c>
    </row>
    <row r="28" spans="1:3" hidden="1">
      <c r="A28" s="46" t="s">
        <v>677</v>
      </c>
      <c r="B28" s="151"/>
      <c r="C28" s="151"/>
    </row>
    <row r="29" spans="1:3" hidden="1">
      <c r="A29" s="69" t="s">
        <v>712</v>
      </c>
      <c r="B29" s="151"/>
      <c r="C29" s="151"/>
    </row>
    <row r="30" spans="1:3">
      <c r="A30" s="46" t="s">
        <v>494</v>
      </c>
      <c r="B30" s="151">
        <v>15164</v>
      </c>
      <c r="C30" s="151">
        <v>4571</v>
      </c>
    </row>
    <row r="31" spans="1:3">
      <c r="A31" s="55" t="s">
        <v>25</v>
      </c>
      <c r="B31" s="80">
        <f>SUM(B24:B30)</f>
        <v>325927</v>
      </c>
      <c r="C31" s="80">
        <f>SUM(C24:C30)</f>
        <v>167456</v>
      </c>
    </row>
    <row r="32" spans="1:3">
      <c r="B32" s="293">
        <f>B31-RZiS!D23</f>
        <v>0</v>
      </c>
      <c r="C32" s="293">
        <f>C31-RZiS!E23</f>
        <v>0</v>
      </c>
    </row>
  </sheetData>
  <phoneticPr fontId="37" type="noConversion"/>
  <pageMargins left="0.7" right="0.7" top="0.75" bottom="0.75" header="0.3" footer="0.3"/>
  <pageSetup paperSize="9"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B1:J103"/>
  <sheetViews>
    <sheetView showGridLines="0" view="pageBreakPreview" zoomScaleNormal="100" zoomScaleSheetLayoutView="100" workbookViewId="0">
      <selection activeCell="E11" sqref="E11:M30"/>
    </sheetView>
  </sheetViews>
  <sheetFormatPr defaultColWidth="9.33203125" defaultRowHeight="13.2"/>
  <cols>
    <col min="1" max="1" width="3.33203125" customWidth="1"/>
    <col min="2" max="2" width="45" bestFit="1" customWidth="1"/>
    <col min="3" max="4" width="14" style="322" customWidth="1"/>
    <col min="5" max="5" width="14.44140625" customWidth="1"/>
    <col min="6" max="6" width="10.5546875" customWidth="1"/>
    <col min="7" max="7" width="15.33203125" customWidth="1"/>
  </cols>
  <sheetData>
    <row r="1" spans="2:9">
      <c r="B1" s="38"/>
    </row>
    <row r="2" spans="2:9">
      <c r="C2" s="234"/>
      <c r="D2" s="234"/>
      <c r="E2" s="1"/>
      <c r="F2" s="1"/>
    </row>
    <row r="3" spans="2:9">
      <c r="B3" s="381" t="s">
        <v>511</v>
      </c>
      <c r="C3" s="234"/>
      <c r="D3" s="234"/>
      <c r="E3" s="1"/>
    </row>
    <row r="4" spans="2:9">
      <c r="B4" s="3"/>
      <c r="C4" s="234"/>
      <c r="D4" s="234"/>
      <c r="E4" s="1"/>
    </row>
    <row r="5" spans="2:9" ht="20.399999999999999">
      <c r="B5" s="115" t="s">
        <v>376</v>
      </c>
      <c r="C5" s="320" t="str">
        <f>'Dane podstawowe'!B7</f>
        <v>01.01.2022-31.12.2022</v>
      </c>
      <c r="D5" s="320" t="str">
        <f>'Dane podstawowe'!B12</f>
        <v>01.01.2021-31.12.2021</v>
      </c>
      <c r="E5" s="1"/>
    </row>
    <row r="6" spans="2:9">
      <c r="B6" s="55" t="s">
        <v>37</v>
      </c>
      <c r="C6" s="77">
        <f>SUM(C7:C8)</f>
        <v>268804</v>
      </c>
      <c r="D6" s="77">
        <f>SUM(D7:D8)</f>
        <v>441516</v>
      </c>
      <c r="E6" s="1"/>
    </row>
    <row r="7" spans="2:9">
      <c r="B7" s="54" t="s">
        <v>206</v>
      </c>
      <c r="C7" s="116">
        <v>186261</v>
      </c>
      <c r="D7" s="116">
        <v>441516</v>
      </c>
      <c r="E7" s="1"/>
    </row>
    <row r="8" spans="2:9">
      <c r="B8" s="54" t="s">
        <v>207</v>
      </c>
      <c r="C8" s="468">
        <v>82543</v>
      </c>
      <c r="D8" s="468">
        <v>0</v>
      </c>
      <c r="E8" s="1"/>
    </row>
    <row r="9" spans="2:9">
      <c r="B9" s="55" t="s">
        <v>38</v>
      </c>
      <c r="C9" s="469">
        <f>SUM(C10:C11)</f>
        <v>-168502</v>
      </c>
      <c r="D9" s="77">
        <f>SUM(D10:D11)</f>
        <v>-489564</v>
      </c>
      <c r="E9" s="1"/>
    </row>
    <row r="10" spans="2:9">
      <c r="B10" s="54" t="s">
        <v>39</v>
      </c>
      <c r="C10" s="468">
        <v>-169695</v>
      </c>
      <c r="D10" s="468">
        <v>-431041</v>
      </c>
      <c r="E10" s="1"/>
    </row>
    <row r="11" spans="2:9" ht="14.4">
      <c r="B11" s="54" t="s">
        <v>270</v>
      </c>
      <c r="C11" s="468">
        <v>1193</v>
      </c>
      <c r="D11" s="468">
        <v>-58523</v>
      </c>
      <c r="E11" s="593"/>
    </row>
    <row r="12" spans="2:9">
      <c r="B12" s="54"/>
      <c r="C12" s="468"/>
      <c r="D12" s="78"/>
      <c r="E12" s="1"/>
    </row>
    <row r="13" spans="2:9" ht="20.399999999999999">
      <c r="B13" s="55" t="s">
        <v>40</v>
      </c>
      <c r="C13" s="80">
        <f>SUM(C6,C9)</f>
        <v>100302</v>
      </c>
      <c r="D13" s="80">
        <f>SUM(D6,D9)</f>
        <v>-48048</v>
      </c>
      <c r="E13" s="1"/>
    </row>
    <row r="14" spans="2:9">
      <c r="B14" s="12"/>
      <c r="C14" s="293">
        <f>RZiS!D27-'NOTA 6 - Podatek '!C13</f>
        <v>0</v>
      </c>
      <c r="D14" s="293">
        <f>RZiS!E27-'NOTA 6 - Podatek '!D13</f>
        <v>0</v>
      </c>
      <c r="E14" s="1"/>
    </row>
    <row r="15" spans="2:9">
      <c r="B15" s="12"/>
      <c r="C15" s="230"/>
      <c r="D15" s="230"/>
      <c r="E15" s="1"/>
    </row>
    <row r="16" spans="2:9" ht="20.399999999999999">
      <c r="B16" s="571" t="s">
        <v>37</v>
      </c>
      <c r="C16" s="572" t="s">
        <v>1005</v>
      </c>
      <c r="D16" s="572" t="s">
        <v>851</v>
      </c>
      <c r="E16" s="1"/>
      <c r="I16" s="536"/>
    </row>
    <row r="17" spans="2:9" hidden="1">
      <c r="B17" s="573" t="s">
        <v>243</v>
      </c>
      <c r="C17" s="574">
        <v>4973137</v>
      </c>
      <c r="D17" s="574">
        <v>188231</v>
      </c>
      <c r="E17" s="1"/>
      <c r="I17" s="536"/>
    </row>
    <row r="18" spans="2:9" hidden="1">
      <c r="B18" s="575" t="s">
        <v>822</v>
      </c>
      <c r="C18" s="576">
        <v>-4593686</v>
      </c>
      <c r="D18" s="576">
        <v>-1565042</v>
      </c>
      <c r="E18" s="1"/>
      <c r="I18" s="536"/>
    </row>
    <row r="19" spans="2:9">
      <c r="B19" s="573" t="s">
        <v>982</v>
      </c>
      <c r="C19" s="574">
        <v>379451</v>
      </c>
      <c r="D19" s="574">
        <v>284842</v>
      </c>
      <c r="E19" s="1"/>
      <c r="I19" s="535"/>
    </row>
    <row r="20" spans="2:9">
      <c r="B20" s="573" t="s">
        <v>823</v>
      </c>
      <c r="C20" s="574">
        <f>SUM(C21:C23)</f>
        <v>100301.69</v>
      </c>
      <c r="D20" s="574">
        <f>SUM(D21:D23)</f>
        <v>-48048.02</v>
      </c>
      <c r="E20" s="1"/>
    </row>
    <row r="21" spans="2:9">
      <c r="B21" s="575" t="s">
        <v>824</v>
      </c>
      <c r="C21" s="576">
        <f>0.19*C19</f>
        <v>72095.69</v>
      </c>
      <c r="D21" s="576">
        <f>0.19*D19</f>
        <v>54119.98</v>
      </c>
      <c r="E21" s="4"/>
      <c r="F21" s="4"/>
    </row>
    <row r="22" spans="2:9" hidden="1">
      <c r="B22" s="575" t="s">
        <v>873</v>
      </c>
      <c r="C22" s="576"/>
      <c r="D22" s="576">
        <v>0</v>
      </c>
      <c r="E22" s="4"/>
      <c r="F22" s="4"/>
    </row>
    <row r="23" spans="2:9">
      <c r="B23" s="573" t="s">
        <v>825</v>
      </c>
      <c r="C23" s="574">
        <f>SUM(C24:C31)</f>
        <v>28206</v>
      </c>
      <c r="D23" s="574">
        <f>SUM(D24:D31)</f>
        <v>-102168</v>
      </c>
      <c r="E23" s="4"/>
      <c r="F23" s="4"/>
    </row>
    <row r="24" spans="2:9" ht="21.6">
      <c r="B24" s="575" t="s">
        <v>826</v>
      </c>
      <c r="C24" s="576">
        <v>-58660</v>
      </c>
      <c r="D24" s="576">
        <v>-161612</v>
      </c>
      <c r="E24" s="593"/>
      <c r="F24" s="592"/>
      <c r="G24" s="592"/>
      <c r="H24" s="592"/>
      <c r="I24" s="592"/>
    </row>
    <row r="25" spans="2:9" ht="21.6">
      <c r="B25" s="575" t="s">
        <v>827</v>
      </c>
      <c r="C25" s="576">
        <v>123381</v>
      </c>
      <c r="D25" s="576">
        <v>-26903</v>
      </c>
      <c r="E25" s="593"/>
      <c r="F25" s="592"/>
      <c r="G25" s="592"/>
      <c r="H25" s="592"/>
      <c r="I25" s="592"/>
    </row>
    <row r="26" spans="2:9" ht="14.4">
      <c r="B26" s="575" t="s">
        <v>996</v>
      </c>
      <c r="C26" s="576">
        <v>-1412</v>
      </c>
      <c r="D26" s="576">
        <v>-21183</v>
      </c>
      <c r="E26" s="593"/>
      <c r="F26" s="592"/>
      <c r="G26" s="592"/>
      <c r="H26" s="592"/>
      <c r="I26" s="592"/>
    </row>
    <row r="27" spans="2:9" ht="14.4">
      <c r="B27" s="575" t="s">
        <v>1063</v>
      </c>
      <c r="C27" s="576">
        <v>-84898</v>
      </c>
      <c r="D27" s="576">
        <v>0</v>
      </c>
      <c r="E27" s="593"/>
      <c r="F27" s="592"/>
      <c r="G27" s="592"/>
      <c r="H27" s="592"/>
      <c r="I27" s="592"/>
    </row>
    <row r="28" spans="2:9" ht="14.4">
      <c r="B28" s="645" t="s">
        <v>874</v>
      </c>
      <c r="C28" s="576">
        <v>218190</v>
      </c>
      <c r="D28" s="576">
        <v>376633</v>
      </c>
      <c r="E28" s="593"/>
      <c r="F28" s="133"/>
    </row>
    <row r="29" spans="2:9" ht="21">
      <c r="B29" s="575" t="s">
        <v>1064</v>
      </c>
      <c r="C29" s="576">
        <v>-50876</v>
      </c>
      <c r="D29" s="576">
        <v>0</v>
      </c>
      <c r="E29" s="662"/>
      <c r="F29" s="4"/>
    </row>
    <row r="30" spans="2:9">
      <c r="B30" s="575" t="s">
        <v>828</v>
      </c>
      <c r="C30" s="576">
        <v>-200062</v>
      </c>
      <c r="D30" s="576">
        <v>-269103</v>
      </c>
      <c r="E30" s="662"/>
      <c r="F30" s="11"/>
    </row>
    <row r="31" spans="2:9" ht="24" customHeight="1">
      <c r="B31" s="575" t="s">
        <v>829</v>
      </c>
      <c r="C31" s="576">
        <v>82543</v>
      </c>
      <c r="D31" s="576">
        <v>0</v>
      </c>
      <c r="E31" s="133"/>
      <c r="F31" s="11"/>
    </row>
    <row r="32" spans="2:9">
      <c r="B32" s="72"/>
      <c r="C32" s="453"/>
      <c r="D32" s="453"/>
      <c r="E32" s="11"/>
      <c r="F32" s="11"/>
    </row>
    <row r="33" spans="2:10">
      <c r="B33" s="72"/>
      <c r="C33" s="325"/>
      <c r="D33" s="325"/>
      <c r="E33" s="11"/>
      <c r="F33" s="11"/>
    </row>
    <row r="34" spans="2:10" ht="40.799999999999997">
      <c r="B34" s="644" t="s">
        <v>1066</v>
      </c>
      <c r="C34" s="647" t="s">
        <v>1067</v>
      </c>
      <c r="D34" s="647" t="s">
        <v>1068</v>
      </c>
      <c r="E34" s="642" t="s">
        <v>1069</v>
      </c>
      <c r="F34" s="11"/>
    </row>
    <row r="35" spans="2:10">
      <c r="B35" s="640">
        <v>2018</v>
      </c>
      <c r="C35" s="646">
        <v>4318985</v>
      </c>
      <c r="D35" s="641">
        <v>4318985</v>
      </c>
      <c r="E35" s="649">
        <v>2023</v>
      </c>
      <c r="F35" s="11"/>
    </row>
    <row r="36" spans="2:10">
      <c r="B36" s="640">
        <v>2019</v>
      </c>
      <c r="C36" s="641">
        <v>1860120</v>
      </c>
      <c r="D36" s="641">
        <v>1860120</v>
      </c>
      <c r="E36" s="649">
        <v>2024</v>
      </c>
      <c r="F36" s="11"/>
    </row>
    <row r="37" spans="2:10">
      <c r="B37" s="640">
        <v>2020</v>
      </c>
      <c r="C37" s="641">
        <v>215174</v>
      </c>
      <c r="D37" s="641">
        <v>215174</v>
      </c>
      <c r="E37" s="649">
        <v>2025</v>
      </c>
      <c r="F37" s="11"/>
    </row>
    <row r="38" spans="2:10">
      <c r="B38" s="640">
        <v>2021</v>
      </c>
      <c r="C38" s="643">
        <v>2062618</v>
      </c>
      <c r="D38" s="643">
        <v>2062618</v>
      </c>
      <c r="E38" s="649">
        <v>2026</v>
      </c>
      <c r="F38" s="11"/>
    </row>
    <row r="39" spans="2:10">
      <c r="B39" s="640">
        <v>2022</v>
      </c>
      <c r="C39" s="643">
        <v>2344775</v>
      </c>
      <c r="D39" s="643">
        <v>1433246</v>
      </c>
      <c r="E39" s="649">
        <v>2027</v>
      </c>
      <c r="F39" s="11"/>
    </row>
    <row r="40" spans="2:10">
      <c r="B40" s="648" t="s">
        <v>474</v>
      </c>
      <c r="C40" s="643">
        <f>SUM(C35:C39)</f>
        <v>10801672</v>
      </c>
      <c r="D40" s="643">
        <f>SUM(D35:D39)</f>
        <v>9890143</v>
      </c>
      <c r="E40" s="639"/>
      <c r="F40" s="11"/>
    </row>
    <row r="41" spans="2:10">
      <c r="B41" s="72"/>
      <c r="C41" s="325"/>
      <c r="D41" s="325"/>
      <c r="E41" s="11"/>
      <c r="F41" s="11"/>
    </row>
    <row r="42" spans="2:10">
      <c r="B42" s="72"/>
      <c r="C42" s="325"/>
      <c r="D42" s="325"/>
      <c r="E42" s="11"/>
      <c r="F42" s="11"/>
    </row>
    <row r="43" spans="2:10">
      <c r="B43" s="72"/>
      <c r="C43" s="325"/>
      <c r="D43" s="325"/>
      <c r="E43" s="11"/>
      <c r="F43" s="11"/>
    </row>
    <row r="44" spans="2:10" s="31" customFormat="1" ht="20.399999999999999">
      <c r="B44" s="505" t="s">
        <v>395</v>
      </c>
      <c r="C44" s="506">
        <v>44561</v>
      </c>
      <c r="D44" s="506" t="s">
        <v>208</v>
      </c>
      <c r="E44" s="506" t="s">
        <v>209</v>
      </c>
      <c r="F44" s="506">
        <v>44926</v>
      </c>
    </row>
    <row r="45" spans="2:10">
      <c r="B45" s="73" t="s">
        <v>271</v>
      </c>
      <c r="C45" s="75">
        <v>528720</v>
      </c>
      <c r="D45" s="75">
        <v>2843305</v>
      </c>
      <c r="E45" s="75">
        <f>2557546+1</f>
        <v>2557547</v>
      </c>
      <c r="F45" s="75">
        <f>C45+D45-E45</f>
        <v>814478</v>
      </c>
      <c r="G45" s="31"/>
      <c r="H45" s="31"/>
      <c r="I45" s="31"/>
      <c r="J45" s="31"/>
    </row>
    <row r="46" spans="2:10">
      <c r="B46" s="46" t="s">
        <v>272</v>
      </c>
      <c r="C46" s="75">
        <v>573426</v>
      </c>
      <c r="D46" s="75">
        <v>348386</v>
      </c>
      <c r="E46" s="75">
        <f>179286-2</f>
        <v>179284</v>
      </c>
      <c r="F46" s="75">
        <f t="shared" ref="F46:F57" si="0">C46+D46-E46</f>
        <v>742528</v>
      </c>
      <c r="G46" s="31"/>
      <c r="H46" s="31"/>
      <c r="I46" s="31"/>
      <c r="J46" s="31"/>
    </row>
    <row r="47" spans="2:10">
      <c r="B47" s="46" t="s">
        <v>551</v>
      </c>
      <c r="C47" s="75">
        <v>43920</v>
      </c>
      <c r="D47" s="75">
        <v>63750</v>
      </c>
      <c r="E47" s="75">
        <v>61920</v>
      </c>
      <c r="F47" s="75">
        <f t="shared" si="0"/>
        <v>45750</v>
      </c>
    </row>
    <row r="48" spans="2:10">
      <c r="B48" s="46" t="s">
        <v>273</v>
      </c>
      <c r="C48" s="75">
        <v>3026054</v>
      </c>
      <c r="D48" s="75">
        <v>5695728</v>
      </c>
      <c r="E48" s="75">
        <v>5108053</v>
      </c>
      <c r="F48" s="75">
        <f t="shared" si="0"/>
        <v>3613729</v>
      </c>
    </row>
    <row r="49" spans="2:7">
      <c r="B49" s="73" t="s">
        <v>27</v>
      </c>
      <c r="C49" s="75">
        <v>62665</v>
      </c>
      <c r="D49" s="75">
        <v>52814</v>
      </c>
      <c r="E49" s="75">
        <v>62665</v>
      </c>
      <c r="F49" s="75">
        <f t="shared" si="0"/>
        <v>52814</v>
      </c>
    </row>
    <row r="50" spans="2:7" hidden="1">
      <c r="B50" s="46" t="s">
        <v>556</v>
      </c>
      <c r="C50" s="75">
        <v>-0.47000000000116415</v>
      </c>
      <c r="D50" s="75"/>
      <c r="E50" s="75"/>
      <c r="F50" s="75">
        <f t="shared" si="0"/>
        <v>-0.47000000000116415</v>
      </c>
    </row>
    <row r="51" spans="2:7">
      <c r="B51" s="46" t="s">
        <v>418</v>
      </c>
      <c r="C51" s="75">
        <v>1308881</v>
      </c>
      <c r="D51" s="75">
        <v>467767</v>
      </c>
      <c r="E51" s="75">
        <v>697613</v>
      </c>
      <c r="F51" s="75">
        <f t="shared" si="0"/>
        <v>1079035</v>
      </c>
    </row>
    <row r="52" spans="2:7" hidden="1">
      <c r="B52" s="46" t="s">
        <v>274</v>
      </c>
      <c r="C52" s="75">
        <v>0</v>
      </c>
      <c r="D52" s="75"/>
      <c r="E52" s="75"/>
      <c r="F52" s="75">
        <f t="shared" si="0"/>
        <v>0</v>
      </c>
    </row>
    <row r="53" spans="2:7">
      <c r="B53" s="46" t="s">
        <v>547</v>
      </c>
      <c r="C53" s="75">
        <v>1358379</v>
      </c>
      <c r="D53" s="75">
        <v>667349</v>
      </c>
      <c r="E53" s="75">
        <v>574126</v>
      </c>
      <c r="F53" s="75">
        <f t="shared" si="0"/>
        <v>1451602</v>
      </c>
    </row>
    <row r="54" spans="2:7" ht="21">
      <c r="B54" s="46" t="s">
        <v>283</v>
      </c>
      <c r="C54" s="75">
        <v>818522</v>
      </c>
      <c r="D54" s="75">
        <v>2398530</v>
      </c>
      <c r="E54" s="75">
        <v>2277022</v>
      </c>
      <c r="F54" s="75">
        <f t="shared" si="0"/>
        <v>940030</v>
      </c>
    </row>
    <row r="55" spans="2:7">
      <c r="B55" s="46" t="s">
        <v>656</v>
      </c>
      <c r="C55" s="75">
        <v>485554</v>
      </c>
      <c r="D55" s="75">
        <v>477573</v>
      </c>
      <c r="E55" s="75">
        <v>341131</v>
      </c>
      <c r="F55" s="75">
        <f t="shared" si="0"/>
        <v>621996</v>
      </c>
    </row>
    <row r="56" spans="2:7" hidden="1">
      <c r="B56" s="46" t="s">
        <v>683</v>
      </c>
      <c r="C56" s="75">
        <v>0</v>
      </c>
      <c r="D56" s="75">
        <v>0</v>
      </c>
      <c r="E56" s="75">
        <v>0</v>
      </c>
      <c r="F56" s="75">
        <f t="shared" si="0"/>
        <v>0</v>
      </c>
    </row>
    <row r="57" spans="2:7">
      <c r="B57" s="46" t="s">
        <v>494</v>
      </c>
      <c r="C57" s="75">
        <v>120</v>
      </c>
      <c r="D57" s="75">
        <v>2490171</v>
      </c>
      <c r="E57" s="75">
        <v>1479148</v>
      </c>
      <c r="F57" s="75">
        <f t="shared" si="0"/>
        <v>1011143</v>
      </c>
    </row>
    <row r="58" spans="2:7">
      <c r="B58" s="50" t="s">
        <v>210</v>
      </c>
      <c r="C58" s="45">
        <f>SUM(C45:C57)</f>
        <v>8206240.5300000003</v>
      </c>
      <c r="D58" s="45">
        <f>SUM(D45:D57)</f>
        <v>15505373</v>
      </c>
      <c r="E58" s="45">
        <f>SUM(E45:E57)</f>
        <v>13338509</v>
      </c>
      <c r="F58" s="45">
        <f>SUM(F45:F57)</f>
        <v>10373104.530000001</v>
      </c>
    </row>
    <row r="59" spans="2:7">
      <c r="B59" s="46" t="s">
        <v>211</v>
      </c>
      <c r="C59" s="600" t="s">
        <v>907</v>
      </c>
      <c r="D59" s="600" t="s">
        <v>907</v>
      </c>
      <c r="E59" s="600" t="s">
        <v>907</v>
      </c>
      <c r="F59" s="600" t="s">
        <v>907</v>
      </c>
    </row>
    <row r="60" spans="2:7">
      <c r="B60" s="50" t="s">
        <v>212</v>
      </c>
      <c r="C60" s="45">
        <v>1528549</v>
      </c>
      <c r="D60" s="45">
        <f>D58*19%-69745</f>
        <v>2876275.87</v>
      </c>
      <c r="E60" s="45">
        <f>E58*19%-46618+2</f>
        <v>2487700.71</v>
      </c>
      <c r="F60" s="45">
        <f>C60+D60-E60</f>
        <v>1917124.1600000001</v>
      </c>
      <c r="G60" s="322"/>
    </row>
    <row r="61" spans="2:7">
      <c r="B61" s="46" t="s">
        <v>657</v>
      </c>
      <c r="C61" s="75">
        <v>0</v>
      </c>
      <c r="D61" s="200">
        <v>0</v>
      </c>
      <c r="E61" s="75">
        <v>0</v>
      </c>
      <c r="F61" s="200">
        <f>C61+D61-E61</f>
        <v>0</v>
      </c>
    </row>
    <row r="62" spans="2:7" hidden="1">
      <c r="B62" s="46" t="s">
        <v>685</v>
      </c>
      <c r="C62" s="75">
        <v>0</v>
      </c>
      <c r="D62" s="200">
        <v>0</v>
      </c>
      <c r="E62" s="75">
        <v>0</v>
      </c>
      <c r="F62" s="200">
        <f>C62+D62-E62</f>
        <v>0</v>
      </c>
    </row>
    <row r="63" spans="2:7">
      <c r="B63" s="50" t="s">
        <v>212</v>
      </c>
      <c r="C63" s="45">
        <f>C60-C61-C62</f>
        <v>1528549</v>
      </c>
      <c r="D63" s="45">
        <f>D60-D61-D62</f>
        <v>2876275.87</v>
      </c>
      <c r="E63" s="45">
        <f t="shared" ref="E63" si="1">E60-E61-E62</f>
        <v>2487700.71</v>
      </c>
      <c r="F63" s="45">
        <f>F60-F61-F62</f>
        <v>1917124.1600000001</v>
      </c>
    </row>
    <row r="64" spans="2:7" hidden="1">
      <c r="B64" s="46"/>
      <c r="C64" s="75"/>
      <c r="D64" s="75"/>
      <c r="E64" s="75"/>
      <c r="F64" s="75"/>
    </row>
    <row r="65" spans="2:6" hidden="1">
      <c r="B65" s="46"/>
      <c r="C65" s="75"/>
      <c r="D65" s="75"/>
      <c r="E65" s="75"/>
      <c r="F65" s="75"/>
    </row>
    <row r="66" spans="2:6" hidden="1">
      <c r="B66" s="50"/>
      <c r="C66" s="45"/>
      <c r="D66" s="45"/>
      <c r="E66" s="45"/>
      <c r="F66" s="45"/>
    </row>
    <row r="67" spans="2:6" hidden="1">
      <c r="B67" s="46"/>
      <c r="C67" s="344"/>
      <c r="D67" s="344"/>
      <c r="E67" s="344"/>
      <c r="F67" s="344"/>
    </row>
    <row r="68" spans="2:6" hidden="1">
      <c r="B68" s="50"/>
      <c r="C68" s="45"/>
      <c r="D68" s="45"/>
      <c r="E68" s="45"/>
      <c r="F68" s="45"/>
    </row>
    <row r="69" spans="2:6">
      <c r="B69" s="72"/>
      <c r="C69" s="306">
        <f>Aktywa!E13-'NOTA 6 - Podatek '!C63</f>
        <v>0</v>
      </c>
      <c r="D69" s="345"/>
      <c r="E69" s="345"/>
      <c r="F69" s="306">
        <f>Aktywa!D13-F63</f>
        <v>-0.16000000014901161</v>
      </c>
    </row>
    <row r="70" spans="2:6">
      <c r="B70" s="72"/>
      <c r="C70" s="325"/>
      <c r="D70" s="325"/>
      <c r="E70" s="393"/>
      <c r="F70" s="11"/>
    </row>
    <row r="71" spans="2:6" ht="20.399999999999999">
      <c r="B71" s="70" t="s">
        <v>396</v>
      </c>
      <c r="C71" s="416">
        <v>44561</v>
      </c>
      <c r="D71" s="416" t="s">
        <v>208</v>
      </c>
      <c r="E71" s="416" t="s">
        <v>209</v>
      </c>
      <c r="F71" s="416">
        <v>44926</v>
      </c>
    </row>
    <row r="72" spans="2:6">
      <c r="B72" s="73" t="s">
        <v>41</v>
      </c>
      <c r="C72" s="75">
        <v>3224032</v>
      </c>
      <c r="D72" s="75">
        <v>765116</v>
      </c>
      <c r="E72" s="75">
        <v>881335</v>
      </c>
      <c r="F72" s="75">
        <f>C72+D72-E72</f>
        <v>3107813</v>
      </c>
    </row>
    <row r="73" spans="2:6">
      <c r="B73" s="73" t="s">
        <v>26</v>
      </c>
      <c r="C73" s="75">
        <v>58200</v>
      </c>
      <c r="D73" s="75">
        <v>17786</v>
      </c>
      <c r="E73" s="75">
        <v>58036</v>
      </c>
      <c r="F73" s="75">
        <f t="shared" ref="F73:F80" si="2">C73+D73-E73</f>
        <v>17950</v>
      </c>
    </row>
    <row r="74" spans="2:6">
      <c r="B74" s="73" t="s">
        <v>568</v>
      </c>
      <c r="C74" s="75">
        <v>69783</v>
      </c>
      <c r="D74" s="75">
        <v>36266</v>
      </c>
      <c r="E74" s="75">
        <v>106049</v>
      </c>
      <c r="F74" s="75">
        <f t="shared" si="2"/>
        <v>0</v>
      </c>
    </row>
    <row r="75" spans="2:6">
      <c r="B75" s="73" t="s">
        <v>538</v>
      </c>
      <c r="C75" s="75">
        <v>1027546</v>
      </c>
      <c r="D75" s="75">
        <v>980406</v>
      </c>
      <c r="E75" s="75">
        <v>537190</v>
      </c>
      <c r="F75" s="75">
        <f t="shared" si="2"/>
        <v>1470762</v>
      </c>
    </row>
    <row r="76" spans="2:6">
      <c r="B76" s="73" t="s">
        <v>1036</v>
      </c>
      <c r="C76" s="75">
        <v>0</v>
      </c>
      <c r="D76" s="75">
        <v>447707</v>
      </c>
      <c r="E76" s="75">
        <v>0</v>
      </c>
      <c r="F76" s="75">
        <f t="shared" si="2"/>
        <v>447707</v>
      </c>
    </row>
    <row r="77" spans="2:6">
      <c r="B77" s="73" t="s">
        <v>746</v>
      </c>
      <c r="C77" s="75">
        <v>465365</v>
      </c>
      <c r="D77" s="75">
        <v>286945</v>
      </c>
      <c r="E77" s="75">
        <v>198771</v>
      </c>
      <c r="F77" s="75">
        <f t="shared" si="2"/>
        <v>553539</v>
      </c>
    </row>
    <row r="78" spans="2:6" s="406" customFormat="1" ht="21" hidden="1">
      <c r="B78" s="73" t="s">
        <v>42</v>
      </c>
      <c r="C78" s="75">
        <v>0</v>
      </c>
      <c r="D78" s="75"/>
      <c r="E78" s="75"/>
      <c r="F78" s="75">
        <f t="shared" si="2"/>
        <v>0</v>
      </c>
    </row>
    <row r="79" spans="2:6" s="406" customFormat="1" hidden="1">
      <c r="B79" s="73" t="s">
        <v>684</v>
      </c>
      <c r="C79" s="75">
        <v>0</v>
      </c>
      <c r="D79" s="75"/>
      <c r="E79" s="75"/>
      <c r="F79" s="75">
        <v>0</v>
      </c>
    </row>
    <row r="80" spans="2:6">
      <c r="B80" s="73" t="s">
        <v>494</v>
      </c>
      <c r="C80" s="75">
        <v>273481</v>
      </c>
      <c r="D80" s="75">
        <f>1764705-1</f>
        <v>1764704</v>
      </c>
      <c r="E80" s="75">
        <v>1359270</v>
      </c>
      <c r="F80" s="75">
        <f t="shared" si="2"/>
        <v>678915</v>
      </c>
    </row>
    <row r="81" spans="2:8">
      <c r="B81" s="50" t="s">
        <v>213</v>
      </c>
      <c r="C81" s="45">
        <f>SUM(C72:C80)</f>
        <v>5118407</v>
      </c>
      <c r="D81" s="45">
        <f t="shared" ref="D81:E81" si="3">SUM(D72:D80)</f>
        <v>4298930</v>
      </c>
      <c r="E81" s="45">
        <f t="shared" si="3"/>
        <v>3140651</v>
      </c>
      <c r="F81" s="45">
        <f>C81+D81-E81</f>
        <v>6276686</v>
      </c>
    </row>
    <row r="82" spans="2:8">
      <c r="B82" s="46" t="s">
        <v>211</v>
      </c>
      <c r="C82" s="498">
        <v>0.19</v>
      </c>
      <c r="D82" s="498">
        <v>0.19</v>
      </c>
      <c r="E82" s="498">
        <v>0.19</v>
      </c>
      <c r="F82" s="498">
        <v>0.19</v>
      </c>
      <c r="H82" s="322"/>
    </row>
    <row r="83" spans="2:8">
      <c r="B83" s="50" t="s">
        <v>214</v>
      </c>
      <c r="C83" s="76">
        <f>ROUND(C81*C82,0)</f>
        <v>972497</v>
      </c>
      <c r="D83" s="76">
        <f>ROUND(D81*D82,0)</f>
        <v>816797</v>
      </c>
      <c r="E83" s="76">
        <f t="shared" ref="E83:F83" si="4">ROUND(E81*E82,0)</f>
        <v>596724</v>
      </c>
      <c r="F83" s="76">
        <f t="shared" si="4"/>
        <v>1192570</v>
      </c>
    </row>
    <row r="84" spans="2:8">
      <c r="B84" s="71"/>
      <c r="C84" s="306">
        <f>Pasywa!E16-C83</f>
        <v>0</v>
      </c>
      <c r="D84" s="345"/>
      <c r="E84" s="345"/>
      <c r="F84" s="306">
        <f>Pasywa!D16-F83</f>
        <v>0</v>
      </c>
    </row>
    <row r="85" spans="2:8">
      <c r="B85" s="72" t="s">
        <v>423</v>
      </c>
      <c r="C85" s="326"/>
      <c r="D85" s="326"/>
      <c r="E85" s="1"/>
      <c r="F85" s="1"/>
    </row>
    <row r="86" spans="2:8">
      <c r="B86" s="72"/>
      <c r="C86" s="326"/>
      <c r="D86" s="326"/>
      <c r="E86" s="1"/>
      <c r="F86" s="1"/>
    </row>
    <row r="87" spans="2:8">
      <c r="B87" s="99" t="s">
        <v>294</v>
      </c>
      <c r="C87" s="416">
        <f>Pasywa!D2</f>
        <v>44926</v>
      </c>
      <c r="D87" s="416">
        <v>44561</v>
      </c>
      <c r="E87" s="1"/>
      <c r="F87" s="1"/>
    </row>
    <row r="88" spans="2:8">
      <c r="B88" s="83" t="s">
        <v>420</v>
      </c>
      <c r="C88" s="75">
        <v>1917124</v>
      </c>
      <c r="D88" s="75">
        <v>1528549</v>
      </c>
      <c r="E88" s="1"/>
      <c r="F88" s="1"/>
    </row>
    <row r="89" spans="2:8" ht="20.399999999999999">
      <c r="B89" s="382" t="s">
        <v>421</v>
      </c>
      <c r="C89" s="75">
        <v>1192570</v>
      </c>
      <c r="D89" s="75">
        <v>972497</v>
      </c>
      <c r="E89" s="234"/>
      <c r="F89" s="1"/>
    </row>
    <row r="90" spans="2:8">
      <c r="B90" s="382" t="s">
        <v>422</v>
      </c>
      <c r="C90" s="75">
        <v>0</v>
      </c>
      <c r="D90" s="75">
        <v>0</v>
      </c>
      <c r="E90" s="1"/>
      <c r="F90" s="1"/>
    </row>
    <row r="91" spans="2:8">
      <c r="B91" s="50" t="s">
        <v>423</v>
      </c>
      <c r="C91" s="45">
        <f>C88-C89-C90</f>
        <v>724554</v>
      </c>
      <c r="D91" s="45">
        <f>D88-D89-D90</f>
        <v>556052</v>
      </c>
      <c r="E91" s="1"/>
      <c r="F91" s="234"/>
    </row>
    <row r="92" spans="2:8">
      <c r="B92" s="37"/>
      <c r="C92" s="234"/>
      <c r="D92" s="234"/>
      <c r="E92" s="1"/>
      <c r="F92" s="1"/>
    </row>
    <row r="93" spans="2:8">
      <c r="B93" s="37"/>
      <c r="C93" s="234"/>
      <c r="D93" s="234"/>
      <c r="E93" s="1"/>
      <c r="F93" s="1"/>
    </row>
    <row r="94" spans="2:8">
      <c r="B94" s="37"/>
      <c r="C94" s="234"/>
      <c r="D94" s="234"/>
      <c r="E94" s="1"/>
      <c r="F94" s="1"/>
    </row>
    <row r="95" spans="2:8">
      <c r="B95" s="37"/>
      <c r="C95" s="234"/>
      <c r="D95" s="234"/>
      <c r="E95" s="1"/>
      <c r="F95" s="1"/>
    </row>
    <row r="96" spans="2:8">
      <c r="B96" s="37"/>
      <c r="C96" s="234"/>
      <c r="D96" s="234"/>
      <c r="E96" s="1"/>
      <c r="F96" s="1"/>
    </row>
    <row r="97" spans="2:6">
      <c r="B97" s="37"/>
      <c r="C97" s="234"/>
      <c r="D97" s="234"/>
      <c r="E97" s="1"/>
      <c r="F97" s="1"/>
    </row>
    <row r="98" spans="2:6">
      <c r="B98" s="37"/>
      <c r="C98" s="234"/>
      <c r="D98" s="234"/>
      <c r="E98" s="1"/>
      <c r="F98" s="1"/>
    </row>
    <row r="99" spans="2:6">
      <c r="B99" s="37"/>
      <c r="C99" s="234"/>
      <c r="D99" s="234"/>
      <c r="E99" s="1"/>
      <c r="F99" s="1"/>
    </row>
    <row r="100" spans="2:6">
      <c r="B100" s="37"/>
      <c r="C100" s="234"/>
      <c r="D100" s="234"/>
      <c r="E100" s="1"/>
      <c r="F100" s="1"/>
    </row>
    <row r="101" spans="2:6">
      <c r="B101" s="37"/>
      <c r="C101" s="234"/>
      <c r="D101" s="234"/>
      <c r="E101" s="1"/>
      <c r="F101" s="1"/>
    </row>
    <row r="102" spans="2:6">
      <c r="B102" s="37"/>
      <c r="C102" s="234"/>
      <c r="D102" s="234"/>
      <c r="E102" s="1"/>
      <c r="F102" s="1"/>
    </row>
    <row r="103" spans="2:6">
      <c r="B103" s="37"/>
      <c r="C103" s="234"/>
      <c r="D103" s="234"/>
      <c r="E103" s="1"/>
      <c r="F103" s="1"/>
    </row>
  </sheetData>
  <phoneticPr fontId="37" type="noConversion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B1:H28"/>
  <sheetViews>
    <sheetView showGridLines="0" view="pageBreakPreview" zoomScaleNormal="100" zoomScaleSheetLayoutView="100" workbookViewId="0">
      <selection activeCell="G22" sqref="G22:G23"/>
    </sheetView>
  </sheetViews>
  <sheetFormatPr defaultColWidth="9.33203125" defaultRowHeight="13.2"/>
  <cols>
    <col min="1" max="1" width="3.44140625" customWidth="1"/>
    <col min="2" max="2" width="55.6640625" customWidth="1"/>
    <col min="3" max="4" width="18.33203125" bestFit="1" customWidth="1"/>
    <col min="5" max="5" width="21" customWidth="1"/>
    <col min="6" max="7" width="9.5546875" customWidth="1"/>
  </cols>
  <sheetData>
    <row r="1" spans="2:8">
      <c r="B1" s="38"/>
    </row>
    <row r="2" spans="2:8" s="1" customFormat="1" ht="10.199999999999999"/>
    <row r="3" spans="2:8" s="1" customFormat="1">
      <c r="B3" s="381" t="s">
        <v>832</v>
      </c>
      <c r="C3" s="236"/>
      <c r="D3" s="236"/>
      <c r="E3" s="236"/>
      <c r="F3" s="236"/>
      <c r="G3" s="236"/>
      <c r="H3" s="236"/>
    </row>
    <row r="4" spans="2:8" s="1" customFormat="1" ht="10.199999999999999">
      <c r="B4" s="90"/>
      <c r="C4" s="236"/>
      <c r="D4" s="236"/>
      <c r="E4" s="236"/>
      <c r="F4" s="236"/>
      <c r="G4" s="236"/>
      <c r="H4" s="236"/>
    </row>
    <row r="5" spans="2:8" s="8" customFormat="1" ht="10.199999999999999">
      <c r="B5" s="124" t="s">
        <v>426</v>
      </c>
      <c r="C5" s="115" t="str">
        <f>'Dane podstawowe'!$B$7</f>
        <v>01.01.2022-31.12.2022</v>
      </c>
      <c r="D5" s="115" t="str">
        <f>'Dane podstawowe'!$B$12</f>
        <v>01.01.2021-31.12.2021</v>
      </c>
      <c r="E5" s="92"/>
      <c r="F5" s="92"/>
      <c r="G5" s="33"/>
    </row>
    <row r="6" spans="2:8" s="1" customFormat="1" ht="10.199999999999999">
      <c r="B6" s="54" t="s">
        <v>424</v>
      </c>
      <c r="C6" s="237">
        <f>RZiS!D34</f>
        <v>195819</v>
      </c>
      <c r="D6" s="237">
        <f>RZiS!E34</f>
        <v>276980</v>
      </c>
      <c r="E6" s="92"/>
      <c r="F6" s="92"/>
    </row>
    <row r="7" spans="2:8" s="1" customFormat="1" ht="10.199999999999999">
      <c r="B7" s="54" t="s">
        <v>425</v>
      </c>
      <c r="C7" s="237">
        <f>RZiS!D30</f>
        <v>0</v>
      </c>
      <c r="D7" s="237">
        <f>RZiS!E30</f>
        <v>0</v>
      </c>
      <c r="E7" s="92"/>
      <c r="F7" s="92"/>
    </row>
    <row r="8" spans="2:8" s="1" customFormat="1" ht="20.399999999999999">
      <c r="B8" s="97" t="s">
        <v>456</v>
      </c>
      <c r="C8" s="94">
        <f>C6-C7</f>
        <v>195819</v>
      </c>
      <c r="D8" s="94">
        <f>D6-D7</f>
        <v>276980</v>
      </c>
      <c r="E8" s="92"/>
      <c r="F8" s="92"/>
    </row>
    <row r="9" spans="2:8" s="1" customFormat="1" ht="10.199999999999999">
      <c r="B9" s="2" t="s">
        <v>427</v>
      </c>
      <c r="C9" s="237">
        <f>SUM(C10:C12)</f>
        <v>0</v>
      </c>
      <c r="D9" s="237">
        <f>SUM(D10:D12)</f>
        <v>0</v>
      </c>
      <c r="E9" s="92"/>
      <c r="F9" s="92"/>
    </row>
    <row r="10" spans="2:8" s="1" customFormat="1" ht="10.199999999999999">
      <c r="B10" s="93" t="s">
        <v>428</v>
      </c>
      <c r="C10" s="237">
        <v>0</v>
      </c>
      <c r="D10" s="237">
        <v>0</v>
      </c>
      <c r="E10" s="92"/>
      <c r="F10" s="92"/>
    </row>
    <row r="11" spans="2:8" s="1" customFormat="1" ht="10.199999999999999">
      <c r="B11" s="93" t="s">
        <v>429</v>
      </c>
      <c r="C11" s="237">
        <v>0</v>
      </c>
      <c r="D11" s="237">
        <v>0</v>
      </c>
      <c r="E11" s="92"/>
      <c r="F11" s="92"/>
    </row>
    <row r="12" spans="2:8" s="1" customFormat="1" ht="10.199999999999999" hidden="1">
      <c r="B12" s="49" t="s">
        <v>430</v>
      </c>
      <c r="C12" s="237"/>
      <c r="D12" s="237"/>
      <c r="E12" s="92"/>
      <c r="F12" s="92"/>
    </row>
    <row r="13" spans="2:8" s="4" customFormat="1" ht="23.25" customHeight="1">
      <c r="B13" s="97" t="s">
        <v>431</v>
      </c>
      <c r="C13" s="154">
        <f>C8+C9</f>
        <v>195819</v>
      </c>
      <c r="D13" s="154">
        <f>D8+D9</f>
        <v>276980</v>
      </c>
      <c r="E13" s="92"/>
      <c r="F13" s="92"/>
    </row>
    <row r="14" spans="2:8" s="1" customFormat="1" ht="10.199999999999999">
      <c r="B14" s="9"/>
      <c r="C14" s="96"/>
      <c r="D14" s="96"/>
      <c r="E14" s="92"/>
      <c r="F14" s="92"/>
    </row>
    <row r="15" spans="2:8" s="1" customFormat="1" ht="10.199999999999999">
      <c r="B15" s="84"/>
      <c r="E15" s="92"/>
      <c r="F15" s="92"/>
    </row>
    <row r="16" spans="2:8" s="1" customFormat="1" ht="10.199999999999999">
      <c r="B16" s="112" t="s">
        <v>438</v>
      </c>
      <c r="C16" s="115" t="str">
        <f>'Dane podstawowe'!$B$7</f>
        <v>01.01.2022-31.12.2022</v>
      </c>
      <c r="D16" s="115" t="str">
        <f>'Dane podstawowe'!$B$12</f>
        <v>01.01.2021-31.12.2021</v>
      </c>
      <c r="E16" s="92"/>
      <c r="F16" s="92"/>
    </row>
    <row r="17" spans="2:6" s="1" customFormat="1" ht="20.399999999999999">
      <c r="B17" s="50" t="s">
        <v>432</v>
      </c>
      <c r="C17" s="45">
        <v>2485775</v>
      </c>
      <c r="D17" s="45">
        <v>2485775</v>
      </c>
      <c r="E17" s="92"/>
      <c r="F17" s="92"/>
    </row>
    <row r="18" spans="2:6" s="1" customFormat="1" ht="10.199999999999999">
      <c r="B18" s="46" t="s">
        <v>433</v>
      </c>
      <c r="C18" s="237">
        <f>SUM(C19:C21)</f>
        <v>116831</v>
      </c>
      <c r="D18" s="237">
        <f>SUM(D19:D21)</f>
        <v>58415</v>
      </c>
      <c r="E18" s="92"/>
      <c r="F18" s="92"/>
    </row>
    <row r="19" spans="2:6" s="1" customFormat="1" ht="10.199999999999999">
      <c r="B19" s="46" t="s">
        <v>434</v>
      </c>
      <c r="C19" s="75">
        <v>116831</v>
      </c>
      <c r="D19" s="75">
        <v>58415</v>
      </c>
      <c r="E19" s="92"/>
      <c r="F19" s="92"/>
    </row>
    <row r="20" spans="2:6" s="1" customFormat="1" ht="10.199999999999999">
      <c r="B20" s="46" t="s">
        <v>435</v>
      </c>
      <c r="C20" s="75">
        <v>0</v>
      </c>
      <c r="D20" s="75">
        <v>0</v>
      </c>
      <c r="E20" s="92"/>
      <c r="F20" s="92"/>
    </row>
    <row r="21" spans="2:6" s="1" customFormat="1" ht="10.199999999999999">
      <c r="B21" s="46" t="s">
        <v>436</v>
      </c>
      <c r="C21" s="75">
        <v>0</v>
      </c>
      <c r="D21" s="75">
        <v>0</v>
      </c>
      <c r="E21" s="92"/>
      <c r="F21" s="92"/>
    </row>
    <row r="22" spans="2:6" s="1" customFormat="1" ht="20.399999999999999">
      <c r="B22" s="50" t="s">
        <v>437</v>
      </c>
      <c r="C22" s="154">
        <f>C17+C18</f>
        <v>2602606</v>
      </c>
      <c r="D22" s="154">
        <f>D17+D18</f>
        <v>2544190</v>
      </c>
      <c r="E22" s="92"/>
      <c r="F22" s="92"/>
    </row>
    <row r="23" spans="2:6" s="1" customFormat="1" ht="10.199999999999999">
      <c r="B23" s="72"/>
      <c r="C23" s="229"/>
      <c r="D23" s="229"/>
    </row>
    <row r="24" spans="2:6" s="1" customFormat="1" ht="11.25" customHeight="1">
      <c r="C24" s="699"/>
      <c r="D24" s="699"/>
      <c r="E24" s="699"/>
    </row>
    <row r="25" spans="2:6" s="1" customFormat="1" ht="10.199999999999999">
      <c r="B25" s="84"/>
    </row>
    <row r="28" spans="2:6">
      <c r="C28" s="158"/>
    </row>
  </sheetData>
  <mergeCells count="1">
    <mergeCell ref="C24:E24"/>
  </mergeCells>
  <phoneticPr fontId="37" type="noConversion"/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B1:J165"/>
  <sheetViews>
    <sheetView showGridLines="0" view="pageBreakPreview" topLeftCell="A15" zoomScaleNormal="100" zoomScaleSheetLayoutView="100" zoomScalePageLayoutView="90" workbookViewId="0">
      <selection activeCell="J34" sqref="J34"/>
    </sheetView>
  </sheetViews>
  <sheetFormatPr defaultColWidth="9.33203125" defaultRowHeight="10.199999999999999" outlineLevelRow="1"/>
  <cols>
    <col min="1" max="1" width="2.6640625" style="209" customWidth="1"/>
    <col min="2" max="2" width="42.33203125" style="209" customWidth="1"/>
    <col min="3" max="4" width="15.6640625" style="209" customWidth="1"/>
    <col min="5" max="8" width="14.44140625" style="209" customWidth="1"/>
    <col min="9" max="9" width="15.6640625" style="209" customWidth="1"/>
    <col min="10" max="10" width="13.6640625" style="209" customWidth="1"/>
    <col min="11" max="11" width="14.33203125" style="209" customWidth="1"/>
    <col min="12" max="12" width="13.33203125" style="209" customWidth="1"/>
    <col min="13" max="16384" width="9.33203125" style="209"/>
  </cols>
  <sheetData>
    <row r="1" spans="2:9" ht="18.75" customHeight="1">
      <c r="B1" s="238"/>
    </row>
    <row r="2" spans="2:9" ht="13.2">
      <c r="B2" s="381" t="s">
        <v>833</v>
      </c>
    </row>
    <row r="3" spans="2:9">
      <c r="B3" s="239"/>
    </row>
    <row r="4" spans="2:9" ht="13.95" customHeight="1">
      <c r="B4" s="51" t="s">
        <v>4</v>
      </c>
    </row>
    <row r="5" spans="2:9" ht="13.95" customHeight="1">
      <c r="B5" s="240"/>
    </row>
    <row r="6" spans="2:9" s="211" customFormat="1">
      <c r="B6" s="213" t="s">
        <v>294</v>
      </c>
      <c r="C6" s="417">
        <f>'Dane podstawowe'!$B$9</f>
        <v>44926</v>
      </c>
      <c r="D6" s="417">
        <f>'Dane podstawowe'!$B$14</f>
        <v>44561</v>
      </c>
      <c r="E6" s="209"/>
      <c r="F6" s="209"/>
    </row>
    <row r="7" spans="2:9">
      <c r="B7" s="241" t="s">
        <v>439</v>
      </c>
      <c r="C7" s="242">
        <v>819628</v>
      </c>
      <c r="D7" s="242">
        <v>798638</v>
      </c>
    </row>
    <row r="8" spans="2:9" ht="20.399999999999999">
      <c r="B8" s="243" t="s">
        <v>440</v>
      </c>
      <c r="C8" s="242">
        <v>0</v>
      </c>
      <c r="D8" s="242">
        <v>0</v>
      </c>
    </row>
    <row r="9" spans="2:9">
      <c r="B9" s="244" t="s">
        <v>25</v>
      </c>
      <c r="C9" s="210">
        <f>SUM(C7:C8)</f>
        <v>819628</v>
      </c>
      <c r="D9" s="210">
        <f>SUM(D7:D8)</f>
        <v>798638</v>
      </c>
    </row>
    <row r="10" spans="2:9">
      <c r="C10" s="297">
        <f>Aktywa!D4-'NOTA 9 -Rzeczowe aktywa trwałe'!C9</f>
        <v>0</v>
      </c>
      <c r="D10" s="297">
        <f>Aktywa!E4-'NOTA 9 -Rzeczowe aktywa trwałe'!D9</f>
        <v>0</v>
      </c>
    </row>
    <row r="11" spans="2:9" s="211" customFormat="1">
      <c r="B11" s="245"/>
      <c r="C11" s="246"/>
      <c r="D11" s="246"/>
      <c r="E11" s="209"/>
      <c r="F11" s="209"/>
      <c r="G11" s="209"/>
      <c r="H11" s="209"/>
    </row>
    <row r="12" spans="2:9">
      <c r="B12" s="418" t="s">
        <v>1006</v>
      </c>
      <c r="C12" s="247"/>
      <c r="D12" s="247"/>
    </row>
    <row r="13" spans="2:9">
      <c r="B13" s="240"/>
      <c r="C13" s="247"/>
      <c r="D13" s="247"/>
    </row>
    <row r="14" spans="2:9" ht="30.6" outlineLevel="1">
      <c r="B14" s="214" t="s">
        <v>294</v>
      </c>
      <c r="C14" s="248" t="s">
        <v>296</v>
      </c>
      <c r="D14" s="249" t="s">
        <v>297</v>
      </c>
      <c r="E14" s="248" t="s">
        <v>298</v>
      </c>
      <c r="F14" s="249" t="s">
        <v>490</v>
      </c>
      <c r="G14" s="248" t="s">
        <v>491</v>
      </c>
      <c r="H14" s="462" t="s">
        <v>603</v>
      </c>
      <c r="I14" s="250" t="s">
        <v>25</v>
      </c>
    </row>
    <row r="15" spans="2:9" s="211" customFormat="1" outlineLevel="1">
      <c r="B15" s="419" t="s">
        <v>1007</v>
      </c>
      <c r="C15" s="251">
        <f t="shared" ref="C15:H15" si="0">C69</f>
        <v>0</v>
      </c>
      <c r="D15" s="251">
        <f t="shared" si="0"/>
        <v>601555</v>
      </c>
      <c r="E15" s="251">
        <f t="shared" si="0"/>
        <v>3078747</v>
      </c>
      <c r="F15" s="251">
        <f t="shared" si="0"/>
        <v>432315</v>
      </c>
      <c r="G15" s="251">
        <f t="shared" si="0"/>
        <v>185164</v>
      </c>
      <c r="H15" s="251">
        <f t="shared" si="0"/>
        <v>0</v>
      </c>
      <c r="I15" s="251">
        <f>SUM(C15:H15)</f>
        <v>4297781</v>
      </c>
    </row>
    <row r="16" spans="2:9" s="211" customFormat="1" hidden="1" outlineLevel="1">
      <c r="B16" s="465" t="s">
        <v>670</v>
      </c>
      <c r="C16" s="251">
        <v>0</v>
      </c>
      <c r="D16" s="251">
        <v>0</v>
      </c>
      <c r="E16" s="251">
        <v>0</v>
      </c>
      <c r="F16" s="251"/>
      <c r="G16" s="251">
        <v>0</v>
      </c>
      <c r="H16" s="251">
        <v>0</v>
      </c>
      <c r="I16" s="251">
        <f>SUM(C16:H16)</f>
        <v>0</v>
      </c>
    </row>
    <row r="17" spans="2:9" s="211" customFormat="1" ht="20.399999999999999" hidden="1" outlineLevel="1">
      <c r="B17" s="419" t="s">
        <v>881</v>
      </c>
      <c r="C17" s="251">
        <f>C16+C15</f>
        <v>0</v>
      </c>
      <c r="D17" s="251">
        <f>D16+D15</f>
        <v>601555</v>
      </c>
      <c r="E17" s="251">
        <f t="shared" ref="E17:H17" si="1">E16+E15</f>
        <v>3078747</v>
      </c>
      <c r="F17" s="251">
        <f t="shared" si="1"/>
        <v>432315</v>
      </c>
      <c r="G17" s="251">
        <f t="shared" si="1"/>
        <v>185164</v>
      </c>
      <c r="H17" s="251">
        <f t="shared" si="1"/>
        <v>0</v>
      </c>
      <c r="I17" s="251">
        <f t="shared" ref="I17" si="2">SUM(C17:H17)</f>
        <v>4297781</v>
      </c>
    </row>
    <row r="18" spans="2:9" s="254" customFormat="1" outlineLevel="1">
      <c r="B18" s="252" t="s">
        <v>97</v>
      </c>
      <c r="C18" s="253">
        <f t="shared" ref="C18:H18" si="3">SUM(C19:C25)</f>
        <v>0</v>
      </c>
      <c r="D18" s="253">
        <f t="shared" si="3"/>
        <v>0</v>
      </c>
      <c r="E18" s="253">
        <f t="shared" si="3"/>
        <v>390229</v>
      </c>
      <c r="F18" s="253">
        <f t="shared" si="3"/>
        <v>0</v>
      </c>
      <c r="G18" s="253">
        <f t="shared" si="3"/>
        <v>3800</v>
      </c>
      <c r="H18" s="253">
        <f t="shared" si="3"/>
        <v>0</v>
      </c>
      <c r="I18" s="253">
        <f>SUM(C18:H18)</f>
        <v>394029</v>
      </c>
    </row>
    <row r="19" spans="2:9" outlineLevel="1">
      <c r="B19" s="255" t="s">
        <v>145</v>
      </c>
      <c r="C19" s="212">
        <v>0</v>
      </c>
      <c r="D19" s="212">
        <v>0</v>
      </c>
      <c r="E19" s="212">
        <v>390229</v>
      </c>
      <c r="F19" s="212">
        <v>0</v>
      </c>
      <c r="G19" s="212">
        <v>0</v>
      </c>
      <c r="H19" s="212">
        <v>0</v>
      </c>
      <c r="I19" s="212">
        <f>SUM(C19:H19)</f>
        <v>390229</v>
      </c>
    </row>
    <row r="20" spans="2:9" hidden="1" outlineLevel="1">
      <c r="B20" s="255" t="s">
        <v>146</v>
      </c>
      <c r="C20" s="212">
        <v>0</v>
      </c>
      <c r="D20" s="212">
        <v>0</v>
      </c>
      <c r="E20" s="212">
        <v>0</v>
      </c>
      <c r="F20" s="212">
        <v>0</v>
      </c>
      <c r="G20" s="212">
        <v>0</v>
      </c>
      <c r="H20" s="212">
        <v>0</v>
      </c>
      <c r="I20" s="212">
        <f>SUM(C20:H20)</f>
        <v>0</v>
      </c>
    </row>
    <row r="21" spans="2:9" hidden="1" outlineLevel="1">
      <c r="B21" s="255" t="s">
        <v>143</v>
      </c>
      <c r="C21" s="212"/>
      <c r="D21" s="212"/>
      <c r="E21" s="212"/>
      <c r="F21" s="212">
        <v>0</v>
      </c>
      <c r="G21" s="212"/>
      <c r="H21" s="212"/>
      <c r="I21" s="212">
        <f t="shared" ref="I21:I25" si="4">SUM(C21:H21)</f>
        <v>0</v>
      </c>
    </row>
    <row r="22" spans="2:9" hidden="1" outlineLevel="1">
      <c r="B22" s="380" t="s">
        <v>879</v>
      </c>
      <c r="C22" s="212">
        <v>0</v>
      </c>
      <c r="D22" s="212">
        <v>0</v>
      </c>
      <c r="E22" s="212">
        <v>0</v>
      </c>
      <c r="F22" s="212"/>
      <c r="G22" s="212">
        <v>0</v>
      </c>
      <c r="H22" s="212">
        <v>0</v>
      </c>
      <c r="I22" s="212">
        <f t="shared" si="4"/>
        <v>0</v>
      </c>
    </row>
    <row r="23" spans="2:9" hidden="1" outlineLevel="1">
      <c r="B23" s="255" t="s">
        <v>148</v>
      </c>
      <c r="C23" s="212"/>
      <c r="D23" s="212"/>
      <c r="E23" s="212"/>
      <c r="F23" s="212"/>
      <c r="G23" s="212"/>
      <c r="H23" s="212"/>
      <c r="I23" s="212">
        <f t="shared" si="4"/>
        <v>0</v>
      </c>
    </row>
    <row r="24" spans="2:9" hidden="1" outlineLevel="1">
      <c r="B24" s="333" t="s">
        <v>485</v>
      </c>
      <c r="C24" s="212"/>
      <c r="D24" s="212"/>
      <c r="E24" s="212"/>
      <c r="F24" s="212"/>
      <c r="G24" s="212"/>
      <c r="H24" s="212"/>
      <c r="I24" s="212">
        <f t="shared" si="4"/>
        <v>0</v>
      </c>
    </row>
    <row r="25" spans="2:9" outlineLevel="1">
      <c r="B25" s="255" t="s">
        <v>475</v>
      </c>
      <c r="C25" s="212">
        <v>0</v>
      </c>
      <c r="D25" s="212">
        <v>0</v>
      </c>
      <c r="E25" s="212">
        <v>0</v>
      </c>
      <c r="F25" s="212">
        <v>0</v>
      </c>
      <c r="G25" s="212">
        <v>3800</v>
      </c>
      <c r="H25" s="212">
        <v>0</v>
      </c>
      <c r="I25" s="212">
        <f t="shared" si="4"/>
        <v>3800</v>
      </c>
    </row>
    <row r="26" spans="2:9" s="239" customFormat="1" outlineLevel="1">
      <c r="B26" s="252" t="s">
        <v>96</v>
      </c>
      <c r="C26" s="253">
        <f t="shared" ref="C26:H26" si="5">SUM(C27:C32)</f>
        <v>0</v>
      </c>
      <c r="D26" s="253">
        <f t="shared" si="5"/>
        <v>0</v>
      </c>
      <c r="E26" s="253">
        <f t="shared" si="5"/>
        <v>61215</v>
      </c>
      <c r="F26" s="253">
        <f t="shared" si="5"/>
        <v>0</v>
      </c>
      <c r="G26" s="253">
        <f t="shared" si="5"/>
        <v>0</v>
      </c>
      <c r="H26" s="253">
        <f t="shared" si="5"/>
        <v>0</v>
      </c>
      <c r="I26" s="253">
        <f>SUM(C26:H26)</f>
        <v>61215</v>
      </c>
    </row>
    <row r="27" spans="2:9" outlineLevel="1">
      <c r="B27" s="380" t="s">
        <v>609</v>
      </c>
      <c r="C27" s="212">
        <v>0</v>
      </c>
      <c r="D27" s="212">
        <v>0</v>
      </c>
      <c r="E27" s="212">
        <v>61215</v>
      </c>
      <c r="F27" s="212">
        <v>0</v>
      </c>
      <c r="G27" s="212">
        <v>0</v>
      </c>
      <c r="H27" s="212">
        <v>0</v>
      </c>
      <c r="I27" s="212">
        <f>SUM(C27:H27)</f>
        <v>61215</v>
      </c>
    </row>
    <row r="28" spans="2:9" hidden="1" outlineLevel="1">
      <c r="B28" s="255" t="s">
        <v>149</v>
      </c>
      <c r="C28" s="212">
        <v>0</v>
      </c>
      <c r="D28" s="212">
        <v>0</v>
      </c>
      <c r="E28" s="212">
        <v>0</v>
      </c>
      <c r="F28" s="212">
        <v>0</v>
      </c>
      <c r="G28" s="212">
        <v>0</v>
      </c>
      <c r="H28" s="212">
        <v>0</v>
      </c>
      <c r="I28" s="212">
        <f>SUM(C28:H28)</f>
        <v>0</v>
      </c>
    </row>
    <row r="29" spans="2:9" hidden="1" outlineLevel="1">
      <c r="B29" s="255" t="s">
        <v>150</v>
      </c>
      <c r="C29" s="212">
        <v>0</v>
      </c>
      <c r="D29" s="212">
        <v>0</v>
      </c>
      <c r="E29" s="212">
        <v>0</v>
      </c>
      <c r="F29" s="212">
        <v>0</v>
      </c>
      <c r="G29" s="212">
        <v>0</v>
      </c>
      <c r="H29" s="212">
        <v>0</v>
      </c>
      <c r="I29" s="212">
        <f t="shared" ref="I29:I32" si="6">SUM(C29:H29)</f>
        <v>0</v>
      </c>
    </row>
    <row r="30" spans="2:9" ht="10.199999999999999" hidden="1" customHeight="1" outlineLevel="1">
      <c r="B30" s="255" t="s">
        <v>148</v>
      </c>
      <c r="C30" s="212">
        <v>0</v>
      </c>
      <c r="D30" s="212">
        <v>0</v>
      </c>
      <c r="E30" s="212">
        <v>0</v>
      </c>
      <c r="F30" s="212">
        <v>0</v>
      </c>
      <c r="G30" s="212">
        <v>0</v>
      </c>
      <c r="H30" s="212">
        <v>0</v>
      </c>
      <c r="I30" s="212">
        <f t="shared" si="6"/>
        <v>0</v>
      </c>
    </row>
    <row r="31" spans="2:9" ht="10.199999999999999" hidden="1" customHeight="1" outlineLevel="1">
      <c r="B31" s="255" t="s">
        <v>151</v>
      </c>
      <c r="C31" s="212">
        <v>0</v>
      </c>
      <c r="D31" s="212">
        <v>0</v>
      </c>
      <c r="E31" s="212">
        <v>0</v>
      </c>
      <c r="F31" s="212">
        <v>0</v>
      </c>
      <c r="G31" s="212">
        <v>0</v>
      </c>
      <c r="H31" s="212">
        <v>0</v>
      </c>
      <c r="I31" s="212">
        <f t="shared" si="6"/>
        <v>0</v>
      </c>
    </row>
    <row r="32" spans="2:9" hidden="1" outlineLevel="1">
      <c r="B32" s="380" t="s">
        <v>608</v>
      </c>
      <c r="C32" s="212">
        <v>0</v>
      </c>
      <c r="D32" s="212">
        <v>0</v>
      </c>
      <c r="E32" s="212">
        <v>0</v>
      </c>
      <c r="F32" s="212">
        <v>0</v>
      </c>
      <c r="G32" s="212">
        <v>0</v>
      </c>
      <c r="H32" s="212"/>
      <c r="I32" s="212">
        <f t="shared" si="6"/>
        <v>0</v>
      </c>
    </row>
    <row r="33" spans="2:10" s="211" customFormat="1" ht="10.8" outlineLevel="1" thickBot="1">
      <c r="B33" s="394" t="s">
        <v>1008</v>
      </c>
      <c r="C33" s="256">
        <f>C17+C18-C26</f>
        <v>0</v>
      </c>
      <c r="D33" s="256">
        <f t="shared" ref="D33:H33" si="7">D17+D18-D26</f>
        <v>601555</v>
      </c>
      <c r="E33" s="256">
        <f t="shared" si="7"/>
        <v>3407761</v>
      </c>
      <c r="F33" s="256">
        <f t="shared" si="7"/>
        <v>432315</v>
      </c>
      <c r="G33" s="256">
        <f t="shared" si="7"/>
        <v>188964</v>
      </c>
      <c r="H33" s="256">
        <f t="shared" si="7"/>
        <v>0</v>
      </c>
      <c r="I33" s="256">
        <f>SUM(C33:H33)</f>
        <v>4630595</v>
      </c>
    </row>
    <row r="34" spans="2:10" ht="10.8" outlineLevel="1" thickTop="1">
      <c r="B34" s="61" t="s">
        <v>1009</v>
      </c>
      <c r="C34" s="210">
        <f t="shared" ref="C34:G34" si="8">C82</f>
        <v>0</v>
      </c>
      <c r="D34" s="210">
        <f>D82</f>
        <v>286018</v>
      </c>
      <c r="E34" s="210">
        <f>E82</f>
        <v>2705103</v>
      </c>
      <c r="F34" s="210">
        <f t="shared" si="8"/>
        <v>350200</v>
      </c>
      <c r="G34" s="210">
        <f t="shared" si="8"/>
        <v>157822</v>
      </c>
      <c r="H34" s="210">
        <v>0</v>
      </c>
      <c r="I34" s="210">
        <f>SUM(C34:H34)</f>
        <v>3499143</v>
      </c>
      <c r="J34" s="299"/>
    </row>
    <row r="35" spans="2:10" hidden="1" outlineLevel="1">
      <c r="B35" s="465" t="s">
        <v>670</v>
      </c>
      <c r="C35" s="210">
        <v>0</v>
      </c>
      <c r="D35" s="210">
        <v>0</v>
      </c>
      <c r="E35" s="210">
        <v>0</v>
      </c>
      <c r="F35" s="210"/>
      <c r="G35" s="210">
        <v>0</v>
      </c>
      <c r="H35" s="210">
        <v>0</v>
      </c>
      <c r="I35" s="210">
        <f t="shared" ref="I35:I36" si="9">SUM(C35:H35)</f>
        <v>0</v>
      </c>
    </row>
    <row r="36" spans="2:10" ht="20.399999999999999" hidden="1" outlineLevel="1">
      <c r="B36" s="419" t="s">
        <v>882</v>
      </c>
      <c r="C36" s="210">
        <f>C34+C35</f>
        <v>0</v>
      </c>
      <c r="D36" s="210">
        <f t="shared" ref="D36:H36" si="10">D34+D35</f>
        <v>286018</v>
      </c>
      <c r="E36" s="210">
        <f>E34+E35</f>
        <v>2705103</v>
      </c>
      <c r="F36" s="210">
        <f t="shared" si="10"/>
        <v>350200</v>
      </c>
      <c r="G36" s="210">
        <f t="shared" si="10"/>
        <v>157822</v>
      </c>
      <c r="H36" s="210">
        <f t="shared" si="10"/>
        <v>0</v>
      </c>
      <c r="I36" s="210">
        <f t="shared" si="9"/>
        <v>3499143</v>
      </c>
    </row>
    <row r="37" spans="2:10" s="254" customFormat="1" outlineLevel="1">
      <c r="B37" s="252" t="s">
        <v>97</v>
      </c>
      <c r="C37" s="253">
        <f t="shared" ref="C37:G37" si="11">SUM(C38:C40)</f>
        <v>0</v>
      </c>
      <c r="D37" s="253">
        <f t="shared" si="11"/>
        <v>59678</v>
      </c>
      <c r="E37" s="253">
        <f>SUM(E38:E40)</f>
        <v>205509</v>
      </c>
      <c r="F37" s="253">
        <f t="shared" si="11"/>
        <v>56258</v>
      </c>
      <c r="G37" s="253">
        <f t="shared" si="11"/>
        <v>15125</v>
      </c>
      <c r="H37" s="253">
        <v>0</v>
      </c>
      <c r="I37" s="253">
        <f>SUM(C37:H37)</f>
        <v>336570</v>
      </c>
    </row>
    <row r="38" spans="2:10" outlineLevel="1">
      <c r="B38" s="255" t="s">
        <v>152</v>
      </c>
      <c r="C38" s="212">
        <v>0</v>
      </c>
      <c r="D38" s="212">
        <v>59678</v>
      </c>
      <c r="E38" s="212">
        <v>205509</v>
      </c>
      <c r="F38" s="212">
        <v>56258</v>
      </c>
      <c r="G38" s="212">
        <v>11325</v>
      </c>
      <c r="H38" s="212">
        <v>0</v>
      </c>
      <c r="I38" s="212">
        <f>SUM(C38:H38)</f>
        <v>332770</v>
      </c>
    </row>
    <row r="39" spans="2:10" hidden="1" outlineLevel="1">
      <c r="B39" s="255" t="s">
        <v>148</v>
      </c>
      <c r="C39" s="212"/>
      <c r="D39" s="212">
        <v>0</v>
      </c>
      <c r="E39" s="212">
        <v>0</v>
      </c>
      <c r="F39" s="212">
        <v>0</v>
      </c>
      <c r="G39" s="212">
        <v>0</v>
      </c>
      <c r="H39" s="212">
        <v>0</v>
      </c>
      <c r="I39" s="212">
        <f t="shared" ref="I39:I40" si="12">SUM(C39:H39)</f>
        <v>0</v>
      </c>
    </row>
    <row r="40" spans="2:10" outlineLevel="1">
      <c r="B40" s="255" t="s">
        <v>475</v>
      </c>
      <c r="C40" s="212">
        <v>0</v>
      </c>
      <c r="D40" s="212">
        <v>0</v>
      </c>
      <c r="E40" s="212">
        <v>0</v>
      </c>
      <c r="F40" s="212">
        <v>0</v>
      </c>
      <c r="G40" s="212">
        <v>3800</v>
      </c>
      <c r="H40" s="212">
        <v>0</v>
      </c>
      <c r="I40" s="212">
        <f t="shared" si="12"/>
        <v>3800</v>
      </c>
    </row>
    <row r="41" spans="2:10" s="254" customFormat="1" outlineLevel="1">
      <c r="B41" s="252" t="s">
        <v>96</v>
      </c>
      <c r="C41" s="253">
        <f t="shared" ref="C41:G41" si="13">SUM(C42:C45)</f>
        <v>0</v>
      </c>
      <c r="D41" s="253">
        <f t="shared" si="13"/>
        <v>0</v>
      </c>
      <c r="E41" s="253">
        <f t="shared" si="13"/>
        <v>24746</v>
      </c>
      <c r="F41" s="253">
        <f t="shared" si="13"/>
        <v>0</v>
      </c>
      <c r="G41" s="253">
        <f t="shared" si="13"/>
        <v>0</v>
      </c>
      <c r="H41" s="253">
        <v>0</v>
      </c>
      <c r="I41" s="253">
        <f>SUM(C41:H41)</f>
        <v>24746</v>
      </c>
    </row>
    <row r="42" spans="2:10" outlineLevel="1">
      <c r="B42" s="380" t="s">
        <v>609</v>
      </c>
      <c r="C42" s="212">
        <v>0</v>
      </c>
      <c r="D42" s="212">
        <v>0</v>
      </c>
      <c r="E42" s="212">
        <v>24746</v>
      </c>
      <c r="F42" s="200">
        <v>0</v>
      </c>
      <c r="G42" s="212">
        <v>0</v>
      </c>
      <c r="H42" s="212">
        <v>0</v>
      </c>
      <c r="I42" s="212">
        <f>SUM(C42:H42)</f>
        <v>24746</v>
      </c>
    </row>
    <row r="43" spans="2:10" hidden="1" outlineLevel="1">
      <c r="B43" s="255" t="s">
        <v>149</v>
      </c>
      <c r="C43" s="212">
        <v>0</v>
      </c>
      <c r="D43" s="212">
        <v>0</v>
      </c>
      <c r="E43" s="212">
        <v>0</v>
      </c>
      <c r="F43" s="212">
        <v>0</v>
      </c>
      <c r="G43" s="212">
        <v>0</v>
      </c>
      <c r="H43" s="212">
        <v>0</v>
      </c>
      <c r="I43" s="212">
        <f>SUM(C43:H43)</f>
        <v>0</v>
      </c>
    </row>
    <row r="44" spans="2:10" hidden="1" outlineLevel="1">
      <c r="B44" s="255" t="s">
        <v>148</v>
      </c>
      <c r="C44" s="212"/>
      <c r="D44" s="212"/>
      <c r="E44" s="212"/>
      <c r="F44" s="212"/>
      <c r="G44" s="212"/>
      <c r="H44" s="212"/>
      <c r="I44" s="212">
        <f t="shared" ref="I44" si="14">SUM(C44:G44)</f>
        <v>0</v>
      </c>
    </row>
    <row r="45" spans="2:10" hidden="1" outlineLevel="1">
      <c r="B45" s="380" t="s">
        <v>475</v>
      </c>
      <c r="C45" s="212">
        <v>0</v>
      </c>
      <c r="D45" s="212">
        <v>0</v>
      </c>
      <c r="E45" s="212">
        <v>0</v>
      </c>
      <c r="F45" s="212">
        <v>0</v>
      </c>
      <c r="G45" s="212"/>
      <c r="H45" s="212">
        <v>0</v>
      </c>
      <c r="I45" s="212">
        <f>SUM(C45:H45)</f>
        <v>0</v>
      </c>
    </row>
    <row r="46" spans="2:10" ht="10.8" outlineLevel="1" thickBot="1">
      <c r="B46" s="98" t="s">
        <v>1010</v>
      </c>
      <c r="C46" s="257">
        <f t="shared" ref="C46" si="15">C34+C37-C41</f>
        <v>0</v>
      </c>
      <c r="D46" s="257">
        <f>D36+D37-D41</f>
        <v>345696</v>
      </c>
      <c r="E46" s="257">
        <f t="shared" ref="E46:H46" si="16">E36+E37-E41</f>
        <v>2885866</v>
      </c>
      <c r="F46" s="257">
        <f t="shared" si="16"/>
        <v>406458</v>
      </c>
      <c r="G46" s="257">
        <f t="shared" si="16"/>
        <v>172947</v>
      </c>
      <c r="H46" s="257">
        <f t="shared" si="16"/>
        <v>0</v>
      </c>
      <c r="I46" s="257">
        <f>SUM(C46:H46)</f>
        <v>3810967</v>
      </c>
    </row>
    <row r="47" spans="2:10" ht="11.4" hidden="1" outlineLevel="1" thickTop="1" thickBot="1">
      <c r="B47" s="466" t="s">
        <v>610</v>
      </c>
      <c r="C47" s="467">
        <v>0</v>
      </c>
      <c r="D47" s="467">
        <v>0</v>
      </c>
      <c r="E47" s="467">
        <v>0</v>
      </c>
      <c r="F47" s="467">
        <v>0</v>
      </c>
      <c r="G47" s="467">
        <v>0</v>
      </c>
      <c r="H47" s="467">
        <v>0</v>
      </c>
      <c r="I47" s="257">
        <f>SUM(C47:H47)</f>
        <v>0</v>
      </c>
    </row>
    <row r="48" spans="2:10" ht="11.4" outlineLevel="1" thickTop="1" thickBot="1">
      <c r="B48" s="411" t="s">
        <v>1011</v>
      </c>
      <c r="C48" s="298">
        <f>C33-C46</f>
        <v>0</v>
      </c>
      <c r="D48" s="298">
        <f t="shared" ref="D48:H48" si="17">D33-D46</f>
        <v>255859</v>
      </c>
      <c r="E48" s="298">
        <f>E33-E46-E47</f>
        <v>521895</v>
      </c>
      <c r="F48" s="298">
        <f t="shared" si="17"/>
        <v>25857</v>
      </c>
      <c r="G48" s="298">
        <f t="shared" si="17"/>
        <v>16017</v>
      </c>
      <c r="H48" s="298">
        <f t="shared" si="17"/>
        <v>0</v>
      </c>
      <c r="I48" s="298">
        <f>I33-I46-I47</f>
        <v>819628</v>
      </c>
      <c r="J48" s="299"/>
    </row>
    <row r="49" spans="2:10" s="254" customFormat="1" ht="10.8" outlineLevel="1" thickTop="1">
      <c r="B49" s="209"/>
      <c r="C49" s="209"/>
      <c r="D49" s="209"/>
      <c r="E49" s="209"/>
      <c r="F49" s="209"/>
      <c r="G49" s="209"/>
      <c r="H49" s="209"/>
      <c r="I49" s="299">
        <f>Aktywa!D4</f>
        <v>819628</v>
      </c>
    </row>
    <row r="50" spans="2:10" outlineLevel="1">
      <c r="B50" s="418" t="s">
        <v>1012</v>
      </c>
      <c r="E50" s="299"/>
      <c r="G50" s="299"/>
    </row>
    <row r="51" spans="2:10" outlineLevel="1">
      <c r="B51" s="240"/>
    </row>
    <row r="52" spans="2:10" s="254" customFormat="1" ht="30.6" outlineLevel="1">
      <c r="B52" s="214" t="s">
        <v>294</v>
      </c>
      <c r="C52" s="248" t="s">
        <v>296</v>
      </c>
      <c r="D52" s="249" t="s">
        <v>297</v>
      </c>
      <c r="E52" s="248" t="s">
        <v>298</v>
      </c>
      <c r="F52" s="249" t="s">
        <v>490</v>
      </c>
      <c r="G52" s="248" t="s">
        <v>491</v>
      </c>
      <c r="H52" s="462" t="s">
        <v>603</v>
      </c>
      <c r="I52" s="250" t="s">
        <v>25</v>
      </c>
    </row>
    <row r="53" spans="2:10" outlineLevel="1">
      <c r="B53" s="97" t="s">
        <v>857</v>
      </c>
      <c r="C53" s="251">
        <v>0</v>
      </c>
      <c r="D53" s="251">
        <v>601555</v>
      </c>
      <c r="E53" s="251">
        <v>2957187</v>
      </c>
      <c r="F53" s="251">
        <v>150990</v>
      </c>
      <c r="G53" s="251">
        <v>191677</v>
      </c>
      <c r="H53" s="251">
        <v>0</v>
      </c>
      <c r="I53" s="123">
        <f t="shared" ref="I53:I56" si="18">SUM(C53:H53)</f>
        <v>3901409</v>
      </c>
    </row>
    <row r="54" spans="2:10" outlineLevel="1">
      <c r="B54" s="252" t="s">
        <v>97</v>
      </c>
      <c r="C54" s="253">
        <f>SUM(C55:C61)</f>
        <v>0</v>
      </c>
      <c r="D54" s="253">
        <f t="shared" ref="D54:H54" si="19">SUM(D55:D61)</f>
        <v>0</v>
      </c>
      <c r="E54" s="253">
        <f t="shared" si="19"/>
        <v>193141</v>
      </c>
      <c r="F54" s="253">
        <f t="shared" si="19"/>
        <v>281325</v>
      </c>
      <c r="G54" s="253">
        <f t="shared" si="19"/>
        <v>4063</v>
      </c>
      <c r="H54" s="253">
        <f t="shared" si="19"/>
        <v>0</v>
      </c>
      <c r="I54" s="123">
        <f t="shared" si="18"/>
        <v>478529</v>
      </c>
    </row>
    <row r="55" spans="2:10" outlineLevel="1">
      <c r="B55" s="255" t="s">
        <v>145</v>
      </c>
      <c r="C55" s="212">
        <v>0</v>
      </c>
      <c r="D55" s="212">
        <v>0</v>
      </c>
      <c r="E55" s="212">
        <v>193141</v>
      </c>
      <c r="F55" s="212">
        <v>0</v>
      </c>
      <c r="G55" s="212">
        <v>4063</v>
      </c>
      <c r="H55" s="212">
        <v>0</v>
      </c>
      <c r="I55" s="217">
        <f t="shared" si="18"/>
        <v>197204</v>
      </c>
    </row>
    <row r="56" spans="2:10" hidden="1" outlineLevel="1">
      <c r="B56" s="255" t="s">
        <v>146</v>
      </c>
      <c r="C56" s="212">
        <v>0</v>
      </c>
      <c r="D56" s="212">
        <v>0</v>
      </c>
      <c r="E56" s="212">
        <v>0</v>
      </c>
      <c r="F56" s="212">
        <v>0</v>
      </c>
      <c r="G56" s="212">
        <v>0</v>
      </c>
      <c r="H56" s="212">
        <v>0</v>
      </c>
      <c r="I56" s="217">
        <f t="shared" si="18"/>
        <v>0</v>
      </c>
    </row>
    <row r="57" spans="2:10" ht="12" customHeight="1" outlineLevel="1">
      <c r="B57" s="380" t="s">
        <v>879</v>
      </c>
      <c r="C57" s="212">
        <v>0</v>
      </c>
      <c r="D57" s="212">
        <v>0</v>
      </c>
      <c r="E57" s="212">
        <v>0</v>
      </c>
      <c r="F57" s="212">
        <v>114937</v>
      </c>
      <c r="G57" s="212">
        <v>0</v>
      </c>
      <c r="H57" s="212">
        <v>0</v>
      </c>
      <c r="I57" s="217">
        <f>SUM(C57:H57)</f>
        <v>114937</v>
      </c>
    </row>
    <row r="58" spans="2:10" s="211" customFormat="1" hidden="1" outlineLevel="1">
      <c r="B58" s="255" t="s">
        <v>147</v>
      </c>
      <c r="C58" s="212">
        <v>0</v>
      </c>
      <c r="D58" s="212">
        <v>0</v>
      </c>
      <c r="E58" s="212">
        <v>0</v>
      </c>
      <c r="F58" s="212">
        <v>0</v>
      </c>
      <c r="G58" s="212">
        <v>0</v>
      </c>
      <c r="H58" s="212">
        <v>0</v>
      </c>
      <c r="I58" s="217">
        <f>SUM(C58:H58)</f>
        <v>0</v>
      </c>
    </row>
    <row r="59" spans="2:10" hidden="1">
      <c r="B59" s="255" t="s">
        <v>148</v>
      </c>
      <c r="C59" s="212"/>
      <c r="D59" s="212"/>
      <c r="E59" s="212"/>
      <c r="F59" s="212"/>
      <c r="G59" s="212"/>
      <c r="H59" s="212"/>
      <c r="I59" s="217">
        <f t="shared" ref="I59:I60" si="20">SUM(C59:G59)</f>
        <v>0</v>
      </c>
      <c r="J59" s="299"/>
    </row>
    <row r="60" spans="2:10" hidden="1">
      <c r="B60" s="333" t="s">
        <v>485</v>
      </c>
      <c r="C60" s="212"/>
      <c r="D60" s="212"/>
      <c r="E60" s="212"/>
      <c r="F60" s="212"/>
      <c r="G60" s="212"/>
      <c r="H60" s="212"/>
      <c r="I60" s="217">
        <f t="shared" si="20"/>
        <v>0</v>
      </c>
    </row>
    <row r="61" spans="2:10">
      <c r="B61" s="255" t="s">
        <v>475</v>
      </c>
      <c r="C61" s="212">
        <v>0</v>
      </c>
      <c r="D61" s="212">
        <v>0</v>
      </c>
      <c r="E61" s="212">
        <v>0</v>
      </c>
      <c r="F61" s="212">
        <v>166388</v>
      </c>
      <c r="G61" s="212">
        <v>0</v>
      </c>
      <c r="H61" s="212">
        <v>0</v>
      </c>
      <c r="I61" s="217">
        <f>SUM(C61:H61)</f>
        <v>166388</v>
      </c>
    </row>
    <row r="62" spans="2:10" outlineLevel="1">
      <c r="B62" s="252" t="s">
        <v>96</v>
      </c>
      <c r="C62" s="253">
        <f>SUM(C63:C68)</f>
        <v>0</v>
      </c>
      <c r="D62" s="253">
        <f t="shared" ref="D62:H62" si="21">SUM(D63:D68)</f>
        <v>0</v>
      </c>
      <c r="E62" s="253">
        <f t="shared" si="21"/>
        <v>71581</v>
      </c>
      <c r="F62" s="253">
        <f t="shared" si="21"/>
        <v>0</v>
      </c>
      <c r="G62" s="253">
        <f t="shared" si="21"/>
        <v>10576</v>
      </c>
      <c r="H62" s="253">
        <f t="shared" si="21"/>
        <v>0</v>
      </c>
      <c r="I62" s="123">
        <f>SUM(C62:H62)</f>
        <v>82157</v>
      </c>
    </row>
    <row r="63" spans="2:10" s="211" customFormat="1" ht="12.75" customHeight="1" outlineLevel="1">
      <c r="B63" s="380" t="s">
        <v>609</v>
      </c>
      <c r="C63" s="212">
        <v>0</v>
      </c>
      <c r="D63" s="212">
        <v>0</v>
      </c>
      <c r="E63" s="212">
        <v>24378</v>
      </c>
      <c r="F63" s="212">
        <v>0</v>
      </c>
      <c r="G63" s="212">
        <v>10576</v>
      </c>
      <c r="H63" s="212">
        <v>0</v>
      </c>
      <c r="I63" s="217">
        <f t="shared" ref="I63:I69" si="22">SUM(C63:H63)</f>
        <v>34954</v>
      </c>
    </row>
    <row r="64" spans="2:10" outlineLevel="1">
      <c r="B64" s="255" t="s">
        <v>149</v>
      </c>
      <c r="C64" s="212">
        <v>0</v>
      </c>
      <c r="D64" s="212">
        <v>0</v>
      </c>
      <c r="E64" s="212">
        <v>47203</v>
      </c>
      <c r="F64" s="212">
        <v>0</v>
      </c>
      <c r="G64" s="212">
        <v>0</v>
      </c>
      <c r="H64" s="212">
        <v>0</v>
      </c>
      <c r="I64" s="217">
        <f t="shared" si="22"/>
        <v>47203</v>
      </c>
    </row>
    <row r="65" spans="2:9" hidden="1" outlineLevel="1">
      <c r="B65" s="380" t="s">
        <v>726</v>
      </c>
      <c r="C65" s="212">
        <v>0</v>
      </c>
      <c r="D65" s="212">
        <v>0</v>
      </c>
      <c r="E65" s="212">
        <v>0</v>
      </c>
      <c r="F65" s="212">
        <v>0</v>
      </c>
      <c r="G65" s="212">
        <v>0</v>
      </c>
      <c r="H65" s="212">
        <v>0</v>
      </c>
      <c r="I65" s="217">
        <f t="shared" si="22"/>
        <v>0</v>
      </c>
    </row>
    <row r="66" spans="2:9" hidden="1" outlineLevel="1">
      <c r="B66" s="255" t="s">
        <v>148</v>
      </c>
      <c r="C66" s="212"/>
      <c r="D66" s="212"/>
      <c r="E66" s="212">
        <v>0</v>
      </c>
      <c r="F66" s="212"/>
      <c r="G66" s="212"/>
      <c r="H66" s="212"/>
      <c r="I66" s="217">
        <f t="shared" si="22"/>
        <v>0</v>
      </c>
    </row>
    <row r="67" spans="2:9" hidden="1" outlineLevel="1">
      <c r="B67" s="255" t="s">
        <v>151</v>
      </c>
      <c r="C67" s="212"/>
      <c r="D67" s="212"/>
      <c r="E67" s="212">
        <v>0</v>
      </c>
      <c r="F67" s="212"/>
      <c r="G67" s="212"/>
      <c r="H67" s="212"/>
      <c r="I67" s="217">
        <f t="shared" si="22"/>
        <v>0</v>
      </c>
    </row>
    <row r="68" spans="2:9" hidden="1" outlineLevel="1">
      <c r="B68" s="380" t="s">
        <v>608</v>
      </c>
      <c r="C68" s="212">
        <v>0</v>
      </c>
      <c r="D68" s="212">
        <v>0</v>
      </c>
      <c r="E68" s="212">
        <v>0</v>
      </c>
      <c r="F68" s="212">
        <v>0</v>
      </c>
      <c r="G68" s="212">
        <v>0</v>
      </c>
      <c r="H68" s="200">
        <v>0</v>
      </c>
      <c r="I68" s="217">
        <f t="shared" si="22"/>
        <v>0</v>
      </c>
    </row>
    <row r="69" spans="2:9" ht="10.8" outlineLevel="1" thickBot="1">
      <c r="B69" s="394" t="s">
        <v>856</v>
      </c>
      <c r="C69" s="346">
        <f>C53+C54-C62</f>
        <v>0</v>
      </c>
      <c r="D69" s="346">
        <f t="shared" ref="D69:H69" si="23">D53+D54-D62</f>
        <v>601555</v>
      </c>
      <c r="E69" s="346">
        <f>E53+E54-E62</f>
        <v>3078747</v>
      </c>
      <c r="F69" s="346">
        <f t="shared" si="23"/>
        <v>432315</v>
      </c>
      <c r="G69" s="346">
        <f t="shared" si="23"/>
        <v>185164</v>
      </c>
      <c r="H69" s="346">
        <f t="shared" si="23"/>
        <v>0</v>
      </c>
      <c r="I69" s="123">
        <f t="shared" si="22"/>
        <v>4297781</v>
      </c>
    </row>
    <row r="70" spans="2:9" ht="10.8" outlineLevel="1" thickTop="1">
      <c r="B70" s="61" t="s">
        <v>855</v>
      </c>
      <c r="C70" s="210">
        <v>0</v>
      </c>
      <c r="D70" s="210">
        <v>225804</v>
      </c>
      <c r="E70" s="210">
        <v>2561186</v>
      </c>
      <c r="F70" s="210">
        <v>144473</v>
      </c>
      <c r="G70" s="210">
        <v>146988</v>
      </c>
      <c r="H70" s="210">
        <v>0</v>
      </c>
      <c r="I70" s="123">
        <f>SUM(C70:H70)</f>
        <v>3078451</v>
      </c>
    </row>
    <row r="71" spans="2:9" ht="20.399999999999999" hidden="1" outlineLevel="1">
      <c r="B71" s="419" t="s">
        <v>883</v>
      </c>
      <c r="C71" s="210">
        <f>C70</f>
        <v>0</v>
      </c>
      <c r="D71" s="210">
        <f t="shared" ref="D71:H71" si="24">D70</f>
        <v>225804</v>
      </c>
      <c r="E71" s="210">
        <f t="shared" si="24"/>
        <v>2561186</v>
      </c>
      <c r="F71" s="210">
        <f t="shared" si="24"/>
        <v>144473</v>
      </c>
      <c r="G71" s="210">
        <f t="shared" si="24"/>
        <v>146988</v>
      </c>
      <c r="H71" s="210">
        <f t="shared" si="24"/>
        <v>0</v>
      </c>
      <c r="I71" s="123">
        <f>SUM(C71:H71)</f>
        <v>3078451</v>
      </c>
    </row>
    <row r="72" spans="2:9" outlineLevel="1">
      <c r="B72" s="252" t="s">
        <v>97</v>
      </c>
      <c r="C72" s="253">
        <f>SUM(C73:C75)</f>
        <v>0</v>
      </c>
      <c r="D72" s="253">
        <f t="shared" ref="D72:G72" si="25">SUM(D73:D75)</f>
        <v>60214</v>
      </c>
      <c r="E72" s="253">
        <f t="shared" si="25"/>
        <v>208675</v>
      </c>
      <c r="F72" s="253">
        <f t="shared" si="25"/>
        <v>205727</v>
      </c>
      <c r="G72" s="253">
        <f t="shared" si="25"/>
        <v>16840</v>
      </c>
      <c r="H72" s="253">
        <v>0</v>
      </c>
      <c r="I72" s="123">
        <f>SUM(C72:H72)</f>
        <v>491456</v>
      </c>
    </row>
    <row r="73" spans="2:9" outlineLevel="1">
      <c r="B73" s="255" t="s">
        <v>152</v>
      </c>
      <c r="C73" s="212">
        <v>0</v>
      </c>
      <c r="D73" s="200">
        <v>60214</v>
      </c>
      <c r="E73" s="200">
        <v>208675</v>
      </c>
      <c r="F73" s="200">
        <v>39339</v>
      </c>
      <c r="G73" s="200">
        <v>16840</v>
      </c>
      <c r="H73" s="212">
        <v>0</v>
      </c>
      <c r="I73" s="217">
        <f>SUM(C73:H73)</f>
        <v>325068</v>
      </c>
    </row>
    <row r="74" spans="2:9" hidden="1" outlineLevel="1">
      <c r="B74" s="255" t="s">
        <v>148</v>
      </c>
      <c r="C74" s="212"/>
      <c r="D74" s="212"/>
      <c r="E74" s="212"/>
      <c r="F74" s="212"/>
      <c r="G74" s="212"/>
      <c r="H74" s="212"/>
      <c r="I74" s="217">
        <f t="shared" ref="I74:I80" si="26">SUM(C74:G74)</f>
        <v>0</v>
      </c>
    </row>
    <row r="75" spans="2:9" outlineLevel="1">
      <c r="B75" s="255" t="s">
        <v>475</v>
      </c>
      <c r="C75" s="212">
        <v>0</v>
      </c>
      <c r="D75" s="212">
        <v>0</v>
      </c>
      <c r="E75" s="200">
        <v>0</v>
      </c>
      <c r="F75" s="200">
        <v>166388</v>
      </c>
      <c r="G75" s="200">
        <v>0</v>
      </c>
      <c r="H75" s="212">
        <v>0</v>
      </c>
      <c r="I75" s="217">
        <f>SUM(C75:H75)</f>
        <v>166388</v>
      </c>
    </row>
    <row r="76" spans="2:9" outlineLevel="1">
      <c r="B76" s="252" t="s">
        <v>96</v>
      </c>
      <c r="C76" s="253">
        <f>SUM(C77:C81)</f>
        <v>0</v>
      </c>
      <c r="D76" s="253">
        <f t="shared" ref="D76:H76" si="27">SUM(D77:D81)</f>
        <v>0</v>
      </c>
      <c r="E76" s="253">
        <f t="shared" si="27"/>
        <v>64758</v>
      </c>
      <c r="F76" s="253">
        <f t="shared" si="27"/>
        <v>0</v>
      </c>
      <c r="G76" s="253">
        <f t="shared" si="27"/>
        <v>6006</v>
      </c>
      <c r="H76" s="253">
        <f t="shared" si="27"/>
        <v>0</v>
      </c>
      <c r="I76" s="123">
        <f>SUM(C76:H76)</f>
        <v>70764</v>
      </c>
    </row>
    <row r="77" spans="2:9" outlineLevel="1">
      <c r="B77" s="380" t="s">
        <v>609</v>
      </c>
      <c r="C77" s="212">
        <v>0</v>
      </c>
      <c r="D77" s="212">
        <v>0</v>
      </c>
      <c r="E77" s="200">
        <v>17878</v>
      </c>
      <c r="F77" s="200">
        <v>0</v>
      </c>
      <c r="G77" s="200">
        <v>5990</v>
      </c>
      <c r="H77" s="200">
        <v>0</v>
      </c>
      <c r="I77" s="217">
        <f t="shared" ref="I77:I78" si="28">SUM(C77:H77)</f>
        <v>23868</v>
      </c>
    </row>
    <row r="78" spans="2:9" outlineLevel="1">
      <c r="B78" s="255" t="s">
        <v>149</v>
      </c>
      <c r="C78" s="212">
        <v>0</v>
      </c>
      <c r="D78" s="212">
        <v>0</v>
      </c>
      <c r="E78" s="200">
        <v>46704</v>
      </c>
      <c r="F78" s="200">
        <v>0</v>
      </c>
      <c r="G78" s="200">
        <v>0</v>
      </c>
      <c r="H78" s="212">
        <v>0</v>
      </c>
      <c r="I78" s="217">
        <f t="shared" si="28"/>
        <v>46704</v>
      </c>
    </row>
    <row r="79" spans="2:9" hidden="1" outlineLevel="1">
      <c r="B79" s="380" t="s">
        <v>726</v>
      </c>
      <c r="C79" s="212">
        <v>0</v>
      </c>
      <c r="D79" s="212">
        <v>0</v>
      </c>
      <c r="E79" s="212"/>
      <c r="F79" s="212">
        <v>0</v>
      </c>
      <c r="G79" s="212">
        <v>0</v>
      </c>
      <c r="H79" s="212">
        <v>0</v>
      </c>
      <c r="I79" s="123">
        <f>SUM(C79:H79)</f>
        <v>0</v>
      </c>
    </row>
    <row r="80" spans="2:9" hidden="1" outlineLevel="1">
      <c r="B80" s="255" t="s">
        <v>148</v>
      </c>
      <c r="C80" s="212">
        <v>0</v>
      </c>
      <c r="D80" s="212"/>
      <c r="E80" s="212"/>
      <c r="F80" s="212"/>
      <c r="G80" s="212"/>
      <c r="H80" s="212"/>
      <c r="I80" s="123">
        <f t="shared" si="26"/>
        <v>0</v>
      </c>
    </row>
    <row r="81" spans="2:10" s="211" customFormat="1" outlineLevel="1">
      <c r="B81" s="255" t="s">
        <v>475</v>
      </c>
      <c r="C81" s="212">
        <v>0</v>
      </c>
      <c r="D81" s="212">
        <v>0</v>
      </c>
      <c r="E81" s="212">
        <v>176</v>
      </c>
      <c r="F81" s="212">
        <v>0</v>
      </c>
      <c r="G81" s="212">
        <v>16</v>
      </c>
      <c r="H81" s="212">
        <v>0</v>
      </c>
      <c r="I81" s="123">
        <f>SUM(C81:H81)</f>
        <v>192</v>
      </c>
    </row>
    <row r="82" spans="2:10" ht="10.8" outlineLevel="1" thickBot="1">
      <c r="B82" s="98" t="s">
        <v>854</v>
      </c>
      <c r="C82" s="156">
        <f t="shared" ref="C82" si="29">C70+C73-C77</f>
        <v>0</v>
      </c>
      <c r="D82" s="156">
        <f>D71+D72-D76</f>
        <v>286018</v>
      </c>
      <c r="E82" s="156">
        <f t="shared" ref="E82:H82" si="30">E71+E72-E76</f>
        <v>2705103</v>
      </c>
      <c r="F82" s="156">
        <f t="shared" si="30"/>
        <v>350200</v>
      </c>
      <c r="G82" s="156">
        <f t="shared" si="30"/>
        <v>157822</v>
      </c>
      <c r="H82" s="156">
        <f t="shared" si="30"/>
        <v>0</v>
      </c>
      <c r="I82" s="257">
        <f>SUM(C82:H82)</f>
        <v>3499143</v>
      </c>
    </row>
    <row r="83" spans="2:10" ht="11.4" hidden="1" outlineLevel="1" thickTop="1" thickBot="1">
      <c r="B83" s="466" t="s">
        <v>610</v>
      </c>
      <c r="C83" s="257">
        <v>0</v>
      </c>
      <c r="D83" s="257">
        <v>0</v>
      </c>
      <c r="E83" s="257">
        <v>0</v>
      </c>
      <c r="F83" s="257">
        <v>0</v>
      </c>
      <c r="G83" s="257">
        <v>0</v>
      </c>
      <c r="H83" s="257">
        <v>0</v>
      </c>
      <c r="I83" s="257">
        <f>SUM(C83:H83)</f>
        <v>0</v>
      </c>
    </row>
    <row r="84" spans="2:10" ht="12.75" customHeight="1" outlineLevel="1" thickTop="1" thickBot="1">
      <c r="B84" s="411" t="s">
        <v>853</v>
      </c>
      <c r="C84" s="256">
        <f t="shared" ref="C84:H84" si="31">C69-C82-C83</f>
        <v>0</v>
      </c>
      <c r="D84" s="256">
        <f t="shared" si="31"/>
        <v>315537</v>
      </c>
      <c r="E84" s="256">
        <f t="shared" si="31"/>
        <v>373644</v>
      </c>
      <c r="F84" s="256">
        <f t="shared" si="31"/>
        <v>82115</v>
      </c>
      <c r="G84" s="256">
        <f t="shared" si="31"/>
        <v>27342</v>
      </c>
      <c r="H84" s="256">
        <f t="shared" si="31"/>
        <v>0</v>
      </c>
      <c r="I84" s="256">
        <f>SUM(C84:H84)</f>
        <v>798638</v>
      </c>
      <c r="J84" s="299">
        <f>I84-Aktywa!E4</f>
        <v>0</v>
      </c>
    </row>
    <row r="85" spans="2:10" ht="10.8" outlineLevel="1" thickTop="1"/>
    <row r="86" spans="2:10" outlineLevel="1"/>
    <row r="87" spans="2:10" outlineLevel="1"/>
    <row r="88" spans="2:10" outlineLevel="1"/>
    <row r="89" spans="2:10" outlineLevel="1"/>
    <row r="90" spans="2:10" outlineLevel="1"/>
    <row r="91" spans="2:10" outlineLevel="1"/>
    <row r="92" spans="2:10" outlineLevel="1"/>
    <row r="93" spans="2:10" outlineLevel="1"/>
    <row r="94" spans="2:10" ht="11.25" customHeight="1" outlineLevel="1"/>
    <row r="95" spans="2:10" ht="12.75" customHeight="1" outlineLevel="1"/>
    <row r="96" spans="2:10" ht="11.25" customHeight="1" outlineLevel="1"/>
    <row r="97" spans="2:10" ht="11.25" customHeight="1" outlineLevel="1"/>
    <row r="98" spans="2:10" ht="12.75" customHeight="1" outlineLevel="1"/>
    <row r="99" spans="2:10" outlineLevel="1"/>
    <row r="100" spans="2:10" outlineLevel="1"/>
    <row r="101" spans="2:10" outlineLevel="1"/>
    <row r="102" spans="2:10" outlineLevel="1"/>
    <row r="103" spans="2:10" ht="13.95" customHeight="1" outlineLevel="1"/>
    <row r="104" spans="2:10" s="211" customFormat="1" outlineLevel="1">
      <c r="B104" s="209"/>
      <c r="C104" s="209"/>
      <c r="D104" s="209"/>
      <c r="E104" s="209"/>
      <c r="F104" s="209"/>
      <c r="G104" s="209"/>
      <c r="H104" s="209"/>
      <c r="I104" s="209"/>
    </row>
    <row r="105" spans="2:10" s="211" customFormat="1" outlineLevel="1">
      <c r="B105" s="209"/>
      <c r="C105" s="209"/>
      <c r="D105" s="209"/>
      <c r="E105" s="209"/>
      <c r="F105" s="209"/>
      <c r="G105" s="209"/>
      <c r="H105" s="209"/>
      <c r="I105" s="209"/>
      <c r="J105" s="393"/>
    </row>
    <row r="110" spans="2:10" s="211" customFormat="1" ht="11.25" customHeight="1">
      <c r="B110" s="209"/>
      <c r="C110" s="209"/>
      <c r="D110" s="209"/>
      <c r="E110" s="209"/>
      <c r="F110" s="209"/>
      <c r="G110" s="209"/>
      <c r="H110" s="209"/>
      <c r="I110" s="209"/>
    </row>
    <row r="111" spans="2:10" s="211" customFormat="1">
      <c r="B111" s="209"/>
      <c r="C111" s="209"/>
      <c r="D111" s="209"/>
      <c r="E111" s="209"/>
      <c r="F111" s="209"/>
      <c r="G111" s="209"/>
      <c r="H111" s="209"/>
      <c r="I111" s="209"/>
    </row>
    <row r="112" spans="2:10" s="211" customFormat="1" ht="22.95" customHeight="1">
      <c r="B112" s="209"/>
      <c r="C112" s="209"/>
      <c r="D112" s="209"/>
      <c r="E112" s="209"/>
      <c r="F112" s="209"/>
      <c r="G112" s="209"/>
      <c r="H112" s="209"/>
      <c r="I112" s="209"/>
    </row>
    <row r="116" ht="12.75" customHeight="1"/>
    <row r="118" ht="17.25" customHeight="1"/>
    <row r="122" ht="11.25" customHeight="1"/>
    <row r="132" spans="2:9" s="211" customFormat="1">
      <c r="B132" s="209"/>
      <c r="C132" s="209"/>
      <c r="D132" s="209"/>
      <c r="E132" s="209"/>
      <c r="F132" s="209"/>
      <c r="G132" s="209"/>
      <c r="H132" s="209"/>
      <c r="I132" s="209"/>
    </row>
    <row r="133" spans="2:9" s="211" customFormat="1">
      <c r="B133" s="209"/>
      <c r="C133" s="209"/>
      <c r="D133" s="209"/>
      <c r="E133" s="209"/>
      <c r="F133" s="209"/>
      <c r="G133" s="209"/>
      <c r="H133" s="209"/>
      <c r="I133" s="209"/>
    </row>
    <row r="153" ht="11.25" customHeight="1"/>
    <row r="154" ht="11.25" customHeight="1"/>
    <row r="159" ht="11.25" customHeight="1"/>
    <row r="160" ht="11.25" customHeight="1"/>
    <row r="165" ht="11.25" customHeight="1"/>
  </sheetData>
  <phoneticPr fontId="37" type="noConversion"/>
  <pageMargins left="0.70866141732283472" right="0.70866141732283472" top="0.74803149606299213" bottom="0.74803149606299213" header="0.31496062992125984" footer="0.31496062992125984"/>
  <pageSetup paperSize="9" scale="37" orientation="landscape" r:id="rId1"/>
  <headerFooter alignWithMargins="0"/>
  <rowBreaks count="1" manualBreakCount="1">
    <brk id="58" min="1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B1:P173"/>
  <sheetViews>
    <sheetView showGridLines="0" view="pageBreakPreview" zoomScaleNormal="100" zoomScaleSheetLayoutView="100" workbookViewId="0">
      <selection activeCell="B88" sqref="B88:G91"/>
    </sheetView>
  </sheetViews>
  <sheetFormatPr defaultColWidth="9.33203125" defaultRowHeight="10.199999999999999" outlineLevelRow="1"/>
  <cols>
    <col min="1" max="1" width="3.44140625" style="44" customWidth="1"/>
    <col min="2" max="2" width="41.33203125" style="44" customWidth="1"/>
    <col min="3" max="3" width="14.6640625" style="44" customWidth="1"/>
    <col min="4" max="6" width="14.6640625" style="44" hidden="1" customWidth="1"/>
    <col min="7" max="9" width="14.6640625" style="44" customWidth="1"/>
    <col min="10" max="10" width="11.33203125" style="44" customWidth="1"/>
    <col min="11" max="16384" width="9.33203125" style="44"/>
  </cols>
  <sheetData>
    <row r="1" spans="2:10">
      <c r="B1" s="172"/>
    </row>
    <row r="2" spans="2:10" ht="16.5" customHeight="1">
      <c r="B2" s="381" t="s">
        <v>834</v>
      </c>
    </row>
    <row r="3" spans="2:10" ht="12" customHeight="1">
      <c r="B3" s="3"/>
    </row>
    <row r="4" spans="2:10">
      <c r="B4" s="51" t="s">
        <v>1013</v>
      </c>
    </row>
    <row r="5" spans="2:10">
      <c r="B5" s="51"/>
    </row>
    <row r="6" spans="2:10" s="103" customFormat="1" ht="30.6" outlineLevel="1">
      <c r="B6" s="70" t="s">
        <v>294</v>
      </c>
      <c r="C6" s="115" t="s">
        <v>155</v>
      </c>
      <c r="D6" s="70" t="s">
        <v>590</v>
      </c>
      <c r="E6" s="115" t="s">
        <v>589</v>
      </c>
      <c r="F6" s="70" t="s">
        <v>158</v>
      </c>
      <c r="G6" s="115" t="s">
        <v>588</v>
      </c>
      <c r="H6" s="115" t="s">
        <v>215</v>
      </c>
      <c r="I6" s="115" t="s">
        <v>634</v>
      </c>
      <c r="J6" s="115" t="s">
        <v>352</v>
      </c>
    </row>
    <row r="7" spans="2:10" ht="12.75" customHeight="1" outlineLevel="1">
      <c r="B7" s="327" t="s">
        <v>1007</v>
      </c>
      <c r="C7" s="155">
        <f>C61</f>
        <v>13020743</v>
      </c>
      <c r="D7" s="155">
        <f>D61</f>
        <v>0</v>
      </c>
      <c r="E7" s="155">
        <f>E61</f>
        <v>0</v>
      </c>
      <c r="F7" s="155">
        <f>F61</f>
        <v>0</v>
      </c>
      <c r="G7" s="155">
        <f>G61</f>
        <v>15477584</v>
      </c>
      <c r="H7" s="155">
        <f t="shared" ref="H7:I7" si="0">H61</f>
        <v>124430</v>
      </c>
      <c r="I7" s="155">
        <f t="shared" si="0"/>
        <v>2614209</v>
      </c>
      <c r="J7" s="347">
        <f>SUM(C7:I7)</f>
        <v>31236966</v>
      </c>
    </row>
    <row r="8" spans="2:10" ht="12.75" hidden="1" customHeight="1" outlineLevel="1">
      <c r="B8" s="465" t="s">
        <v>611</v>
      </c>
      <c r="C8" s="427">
        <v>0</v>
      </c>
      <c r="D8" s="427"/>
      <c r="E8" s="427"/>
      <c r="F8" s="427"/>
      <c r="G8" s="427">
        <v>0</v>
      </c>
      <c r="H8" s="523">
        <v>0</v>
      </c>
      <c r="I8" s="523">
        <v>0</v>
      </c>
      <c r="J8" s="523">
        <f t="shared" ref="J8:J10" si="1">SUM(C8:I8)</f>
        <v>0</v>
      </c>
    </row>
    <row r="9" spans="2:10" ht="24.75" hidden="1" customHeight="1" outlineLevel="1">
      <c r="B9" s="419" t="s">
        <v>716</v>
      </c>
      <c r="C9" s="155">
        <f>C7+C8</f>
        <v>13020743</v>
      </c>
      <c r="D9" s="155">
        <f t="shared" ref="D9:I9" si="2">D7+D8</f>
        <v>0</v>
      </c>
      <c r="E9" s="155">
        <f t="shared" si="2"/>
        <v>0</v>
      </c>
      <c r="F9" s="155">
        <f t="shared" si="2"/>
        <v>0</v>
      </c>
      <c r="G9" s="155">
        <f t="shared" si="2"/>
        <v>15477584</v>
      </c>
      <c r="H9" s="155">
        <f t="shared" si="2"/>
        <v>124430</v>
      </c>
      <c r="I9" s="155">
        <f t="shared" si="2"/>
        <v>2614209</v>
      </c>
      <c r="J9" s="155">
        <f t="shared" si="1"/>
        <v>31236966</v>
      </c>
    </row>
    <row r="10" spans="2:10" s="86" customFormat="1" outlineLevel="1">
      <c r="B10" s="204" t="s">
        <v>97</v>
      </c>
      <c r="C10" s="202">
        <f t="shared" ref="C10:I10" si="3">SUM(C11:C14)</f>
        <v>1267600</v>
      </c>
      <c r="D10" s="202">
        <f t="shared" si="3"/>
        <v>0</v>
      </c>
      <c r="E10" s="202">
        <f t="shared" si="3"/>
        <v>0</v>
      </c>
      <c r="F10" s="202">
        <f t="shared" si="3"/>
        <v>0</v>
      </c>
      <c r="G10" s="202">
        <f t="shared" si="3"/>
        <v>295887</v>
      </c>
      <c r="H10" s="202">
        <f t="shared" si="3"/>
        <v>3844</v>
      </c>
      <c r="I10" s="202">
        <f t="shared" si="3"/>
        <v>1473765</v>
      </c>
      <c r="J10" s="347">
        <f t="shared" si="1"/>
        <v>3041096</v>
      </c>
    </row>
    <row r="11" spans="2:10" outlineLevel="1">
      <c r="B11" s="310" t="s">
        <v>410</v>
      </c>
      <c r="C11" s="200">
        <v>0</v>
      </c>
      <c r="D11" s="200">
        <v>0</v>
      </c>
      <c r="E11" s="200">
        <v>0</v>
      </c>
      <c r="F11" s="200">
        <v>0</v>
      </c>
      <c r="G11" s="200">
        <v>167613</v>
      </c>
      <c r="H11" s="217">
        <v>3844</v>
      </c>
      <c r="I11" s="217">
        <v>0</v>
      </c>
      <c r="J11" s="217">
        <f>SUM(C11:I12)</f>
        <v>171457</v>
      </c>
    </row>
    <row r="12" spans="2:10" hidden="1" outlineLevel="1">
      <c r="B12" s="348" t="s">
        <v>148</v>
      </c>
      <c r="C12" s="200"/>
      <c r="D12" s="200"/>
      <c r="E12" s="200"/>
      <c r="F12" s="200"/>
      <c r="G12" s="200"/>
      <c r="H12" s="217"/>
      <c r="I12" s="217"/>
      <c r="J12" s="217">
        <f t="shared" ref="J12" si="4">SUM(C12:I13)</f>
        <v>2741365</v>
      </c>
    </row>
    <row r="13" spans="2:10" outlineLevel="1">
      <c r="B13" s="348" t="s">
        <v>587</v>
      </c>
      <c r="C13" s="200">
        <v>1267600</v>
      </c>
      <c r="D13" s="200">
        <v>0</v>
      </c>
      <c r="E13" s="200">
        <v>0</v>
      </c>
      <c r="F13" s="200">
        <v>0</v>
      </c>
      <c r="G13" s="200">
        <v>0</v>
      </c>
      <c r="H13" s="217">
        <v>0</v>
      </c>
      <c r="I13" s="217">
        <v>1473765</v>
      </c>
      <c r="J13" s="217">
        <f>SUM(C13:I13)</f>
        <v>2741365</v>
      </c>
    </row>
    <row r="14" spans="2:10" outlineLevel="1">
      <c r="B14" s="310" t="s">
        <v>475</v>
      </c>
      <c r="C14" s="200">
        <v>0</v>
      </c>
      <c r="D14" s="200">
        <v>0</v>
      </c>
      <c r="E14" s="200">
        <v>0</v>
      </c>
      <c r="F14" s="200"/>
      <c r="G14" s="200">
        <v>128274</v>
      </c>
      <c r="H14" s="217">
        <v>0</v>
      </c>
      <c r="I14" s="217"/>
      <c r="J14" s="217">
        <f>SUM(C14:I14)</f>
        <v>128274</v>
      </c>
    </row>
    <row r="15" spans="2:10" s="86" customFormat="1" outlineLevel="1">
      <c r="B15" s="204" t="s">
        <v>96</v>
      </c>
      <c r="C15" s="202">
        <f t="shared" ref="C15:I15" si="5">SUM(C16:C19)</f>
        <v>0</v>
      </c>
      <c r="D15" s="202">
        <f t="shared" si="5"/>
        <v>0</v>
      </c>
      <c r="E15" s="202">
        <f t="shared" si="5"/>
        <v>0</v>
      </c>
      <c r="F15" s="202">
        <f t="shared" si="5"/>
        <v>0</v>
      </c>
      <c r="G15" s="202">
        <f t="shared" si="5"/>
        <v>0</v>
      </c>
      <c r="H15" s="202">
        <f t="shared" si="5"/>
        <v>128274</v>
      </c>
      <c r="I15" s="202">
        <f t="shared" si="5"/>
        <v>1267600</v>
      </c>
      <c r="J15" s="347">
        <f t="shared" ref="J15" si="6">SUM(C15:I15)</f>
        <v>1395874</v>
      </c>
    </row>
    <row r="16" spans="2:10" outlineLevel="1">
      <c r="B16" s="310" t="s">
        <v>635</v>
      </c>
      <c r="C16" s="200">
        <v>0</v>
      </c>
      <c r="D16" s="200">
        <v>0</v>
      </c>
      <c r="E16" s="200">
        <v>0</v>
      </c>
      <c r="F16" s="200"/>
      <c r="G16" s="200">
        <v>0</v>
      </c>
      <c r="H16" s="217">
        <v>0</v>
      </c>
      <c r="I16" s="217">
        <v>1267600</v>
      </c>
      <c r="J16" s="217">
        <f>SUM(C16:I16)</f>
        <v>1267600</v>
      </c>
    </row>
    <row r="17" spans="2:12" hidden="1" outlineLevel="1">
      <c r="B17" s="348" t="s">
        <v>149</v>
      </c>
      <c r="C17" s="200">
        <v>0</v>
      </c>
      <c r="D17" s="200"/>
      <c r="E17" s="200"/>
      <c r="F17" s="200"/>
      <c r="G17" s="200">
        <v>0</v>
      </c>
      <c r="H17" s="217">
        <v>0</v>
      </c>
      <c r="I17" s="217"/>
      <c r="J17" s="217">
        <f t="shared" ref="J17:J19" si="7">SUM(C17:I17)</f>
        <v>0</v>
      </c>
    </row>
    <row r="18" spans="2:12" hidden="1" outlineLevel="1">
      <c r="B18" s="310" t="s">
        <v>609</v>
      </c>
      <c r="C18" s="200">
        <v>0</v>
      </c>
      <c r="D18" s="200"/>
      <c r="E18" s="200"/>
      <c r="F18" s="200"/>
      <c r="G18" s="200">
        <v>0</v>
      </c>
      <c r="H18" s="217">
        <v>0</v>
      </c>
      <c r="I18" s="217">
        <v>0</v>
      </c>
      <c r="J18" s="217">
        <f t="shared" si="7"/>
        <v>0</v>
      </c>
    </row>
    <row r="19" spans="2:12" outlineLevel="1">
      <c r="B19" s="310" t="s">
        <v>475</v>
      </c>
      <c r="C19" s="200">
        <v>0</v>
      </c>
      <c r="D19" s="200"/>
      <c r="E19" s="200"/>
      <c r="F19" s="200"/>
      <c r="G19" s="200">
        <v>0</v>
      </c>
      <c r="H19" s="217">
        <v>128274</v>
      </c>
      <c r="I19" s="217">
        <v>0</v>
      </c>
      <c r="J19" s="217">
        <f t="shared" si="7"/>
        <v>128274</v>
      </c>
    </row>
    <row r="20" spans="2:12" ht="14.25" customHeight="1" outlineLevel="1" thickBot="1">
      <c r="B20" s="394" t="s">
        <v>1008</v>
      </c>
      <c r="C20" s="156">
        <f>C9+C10-C15</f>
        <v>14288343</v>
      </c>
      <c r="D20" s="156">
        <f t="shared" ref="D20:H20" si="8">D9+D10-D15</f>
        <v>0</v>
      </c>
      <c r="E20" s="156">
        <f t="shared" si="8"/>
        <v>0</v>
      </c>
      <c r="F20" s="156">
        <f t="shared" si="8"/>
        <v>0</v>
      </c>
      <c r="G20" s="156">
        <f t="shared" si="8"/>
        <v>15773471</v>
      </c>
      <c r="H20" s="156">
        <f t="shared" si="8"/>
        <v>0</v>
      </c>
      <c r="I20" s="156">
        <f>I9+I10-I15</f>
        <v>2820374</v>
      </c>
      <c r="J20" s="346">
        <f>J9+J10-J15</f>
        <v>32882188</v>
      </c>
      <c r="L20" s="355"/>
    </row>
    <row r="21" spans="2:12" ht="14.25" customHeight="1" outlineLevel="1" thickTop="1">
      <c r="B21" s="598" t="s">
        <v>1014</v>
      </c>
      <c r="C21" s="352">
        <f>C67</f>
        <v>1597038</v>
      </c>
      <c r="D21" s="352">
        <f t="shared" ref="D21:I21" si="9">D67</f>
        <v>0</v>
      </c>
      <c r="E21" s="352">
        <f t="shared" si="9"/>
        <v>0</v>
      </c>
      <c r="F21" s="352">
        <f t="shared" si="9"/>
        <v>0</v>
      </c>
      <c r="G21" s="352">
        <f t="shared" si="9"/>
        <v>150000</v>
      </c>
      <c r="H21" s="352">
        <f t="shared" si="9"/>
        <v>0</v>
      </c>
      <c r="I21" s="352">
        <f t="shared" si="9"/>
        <v>856252</v>
      </c>
      <c r="J21" s="352">
        <f>SUM(C21:I21)</f>
        <v>2603290</v>
      </c>
      <c r="L21" s="355"/>
    </row>
    <row r="22" spans="2:12" ht="14.25" hidden="1" customHeight="1" outlineLevel="1">
      <c r="B22" s="465" t="s">
        <v>611</v>
      </c>
      <c r="C22" s="459">
        <v>0</v>
      </c>
      <c r="D22" s="352"/>
      <c r="E22" s="352"/>
      <c r="F22" s="352"/>
      <c r="G22" s="459">
        <v>0</v>
      </c>
      <c r="H22" s="352">
        <v>0</v>
      </c>
      <c r="I22" s="459">
        <v>0</v>
      </c>
      <c r="J22" s="499">
        <f>SUM(C22:I22)</f>
        <v>0</v>
      </c>
      <c r="L22" s="355"/>
    </row>
    <row r="23" spans="2:12" ht="23.25" hidden="1" customHeight="1" outlineLevel="1">
      <c r="B23" s="500" t="s">
        <v>717</v>
      </c>
      <c r="C23" s="352">
        <f>C21+C22</f>
        <v>1597038</v>
      </c>
      <c r="D23" s="352">
        <f t="shared" ref="D23:I23" si="10">D21+D22</f>
        <v>0</v>
      </c>
      <c r="E23" s="352">
        <f t="shared" si="10"/>
        <v>0</v>
      </c>
      <c r="F23" s="352">
        <f t="shared" si="10"/>
        <v>0</v>
      </c>
      <c r="G23" s="352">
        <f t="shared" si="10"/>
        <v>150000</v>
      </c>
      <c r="H23" s="352">
        <f t="shared" si="10"/>
        <v>0</v>
      </c>
      <c r="I23" s="352">
        <f t="shared" si="10"/>
        <v>856252</v>
      </c>
      <c r="J23" s="352">
        <f t="shared" ref="J23:J26" si="11">SUM(C23:I23)</f>
        <v>2603290</v>
      </c>
      <c r="L23" s="355"/>
    </row>
    <row r="24" spans="2:12" ht="14.25" customHeight="1" outlineLevel="1">
      <c r="B24" s="599" t="s">
        <v>636</v>
      </c>
      <c r="C24" s="459">
        <v>0</v>
      </c>
      <c r="D24" s="459"/>
      <c r="E24" s="459"/>
      <c r="F24" s="459"/>
      <c r="G24" s="459">
        <v>0</v>
      </c>
      <c r="H24" s="459">
        <v>0</v>
      </c>
      <c r="I24" s="459">
        <v>0</v>
      </c>
      <c r="J24" s="499">
        <f t="shared" si="11"/>
        <v>0</v>
      </c>
      <c r="L24" s="355"/>
    </row>
    <row r="25" spans="2:12" ht="14.25" customHeight="1" outlineLevel="1">
      <c r="B25" s="501" t="s">
        <v>209</v>
      </c>
      <c r="C25" s="459">
        <v>0</v>
      </c>
      <c r="D25" s="459"/>
      <c r="E25" s="459"/>
      <c r="F25" s="459"/>
      <c r="G25" s="459">
        <v>0</v>
      </c>
      <c r="H25" s="459">
        <v>0</v>
      </c>
      <c r="I25" s="459">
        <v>0</v>
      </c>
      <c r="J25" s="499">
        <f t="shared" si="11"/>
        <v>0</v>
      </c>
      <c r="L25" s="355"/>
    </row>
    <row r="26" spans="2:12" ht="16.5" customHeight="1" outlineLevel="1" thickBot="1">
      <c r="B26" s="394" t="s">
        <v>1015</v>
      </c>
      <c r="C26" s="156">
        <f>C23+C24-C25</f>
        <v>1597038</v>
      </c>
      <c r="D26" s="156">
        <f t="shared" ref="D26:I26" si="12">D23+D24-D25</f>
        <v>0</v>
      </c>
      <c r="E26" s="156">
        <f t="shared" si="12"/>
        <v>0</v>
      </c>
      <c r="F26" s="156">
        <f t="shared" si="12"/>
        <v>0</v>
      </c>
      <c r="G26" s="156">
        <f t="shared" si="12"/>
        <v>150000</v>
      </c>
      <c r="H26" s="156">
        <f t="shared" si="12"/>
        <v>0</v>
      </c>
      <c r="I26" s="156">
        <f t="shared" si="12"/>
        <v>856252</v>
      </c>
      <c r="J26" s="499">
        <f t="shared" si="11"/>
        <v>2603290</v>
      </c>
    </row>
    <row r="27" spans="2:12" ht="10.8" outlineLevel="1" thickTop="1">
      <c r="B27" s="56" t="s">
        <v>1016</v>
      </c>
      <c r="C27" s="88">
        <f>C80+C81</f>
        <v>7918931</v>
      </c>
      <c r="D27" s="88">
        <f t="shared" ref="D27:I27" si="13">D80+D81</f>
        <v>0</v>
      </c>
      <c r="E27" s="88">
        <f t="shared" si="13"/>
        <v>0</v>
      </c>
      <c r="F27" s="88">
        <f t="shared" si="13"/>
        <v>0</v>
      </c>
      <c r="G27" s="88">
        <f t="shared" si="13"/>
        <v>6013410</v>
      </c>
      <c r="H27" s="88">
        <f t="shared" si="13"/>
        <v>0</v>
      </c>
      <c r="I27" s="88">
        <f t="shared" si="13"/>
        <v>0</v>
      </c>
      <c r="J27" s="123">
        <f>SUM(C27:I27)</f>
        <v>13932341</v>
      </c>
    </row>
    <row r="28" spans="2:12" hidden="1" outlineLevel="1">
      <c r="B28" s="465" t="s">
        <v>611</v>
      </c>
      <c r="C28" s="88">
        <v>0</v>
      </c>
      <c r="D28" s="88"/>
      <c r="E28" s="88"/>
      <c r="F28" s="88"/>
      <c r="G28" s="88">
        <v>0</v>
      </c>
      <c r="H28" s="123">
        <v>0</v>
      </c>
      <c r="I28" s="123">
        <v>0</v>
      </c>
      <c r="J28" s="123">
        <f t="shared" ref="J28:J30" si="14">SUM(C28:I28)</f>
        <v>0</v>
      </c>
    </row>
    <row r="29" spans="2:12" ht="20.399999999999999" hidden="1" outlineLevel="1">
      <c r="B29" s="419" t="s">
        <v>713</v>
      </c>
      <c r="C29" s="88">
        <f>C28+C27</f>
        <v>7918931</v>
      </c>
      <c r="D29" s="88">
        <f t="shared" ref="D29:I29" si="15">D28+D27</f>
        <v>0</v>
      </c>
      <c r="E29" s="88">
        <f t="shared" si="15"/>
        <v>0</v>
      </c>
      <c r="F29" s="88">
        <f t="shared" si="15"/>
        <v>0</v>
      </c>
      <c r="G29" s="88">
        <f t="shared" si="15"/>
        <v>6013410</v>
      </c>
      <c r="H29" s="88">
        <f t="shared" si="15"/>
        <v>0</v>
      </c>
      <c r="I29" s="88">
        <f t="shared" si="15"/>
        <v>0</v>
      </c>
      <c r="J29" s="123">
        <f t="shared" si="14"/>
        <v>13932341</v>
      </c>
      <c r="K29" s="355"/>
    </row>
    <row r="30" spans="2:12" s="86" customFormat="1" outlineLevel="1">
      <c r="B30" s="204" t="s">
        <v>97</v>
      </c>
      <c r="C30" s="202">
        <f>SUM(C31:C33)</f>
        <v>1477559</v>
      </c>
      <c r="D30" s="202">
        <f t="shared" ref="D30:H30" si="16">SUM(D31:D33)</f>
        <v>0</v>
      </c>
      <c r="E30" s="202">
        <f t="shared" si="16"/>
        <v>0</v>
      </c>
      <c r="F30" s="202">
        <f t="shared" si="16"/>
        <v>0</v>
      </c>
      <c r="G30" s="202">
        <f t="shared" si="16"/>
        <v>252581</v>
      </c>
      <c r="H30" s="220">
        <f t="shared" si="16"/>
        <v>0</v>
      </c>
      <c r="I30" s="220">
        <v>0</v>
      </c>
      <c r="J30" s="123">
        <f t="shared" si="14"/>
        <v>1730140</v>
      </c>
      <c r="K30" s="502"/>
    </row>
    <row r="31" spans="2:12" outlineLevel="1">
      <c r="B31" s="310" t="s">
        <v>152</v>
      </c>
      <c r="C31" s="200">
        <v>1477559</v>
      </c>
      <c r="D31" s="200"/>
      <c r="E31" s="200"/>
      <c r="F31" s="200"/>
      <c r="G31" s="200">
        <v>252581</v>
      </c>
      <c r="H31" s="217">
        <v>0</v>
      </c>
      <c r="I31" s="217">
        <v>0</v>
      </c>
      <c r="J31" s="217">
        <f>SUM(C31:I32)</f>
        <v>1730140</v>
      </c>
      <c r="K31" s="355"/>
      <c r="L31" s="355"/>
    </row>
    <row r="32" spans="2:12" hidden="1" outlineLevel="1">
      <c r="B32" s="310" t="s">
        <v>148</v>
      </c>
      <c r="C32" s="200"/>
      <c r="D32" s="200"/>
      <c r="E32" s="200"/>
      <c r="F32" s="200"/>
      <c r="G32" s="200"/>
      <c r="H32" s="217"/>
      <c r="I32" s="217"/>
      <c r="J32" s="217">
        <f t="shared" ref="J32" si="17">SUM(C32:I33)</f>
        <v>0</v>
      </c>
    </row>
    <row r="33" spans="2:16" hidden="1" outlineLevel="1">
      <c r="B33" s="310" t="s">
        <v>475</v>
      </c>
      <c r="C33" s="200">
        <v>0</v>
      </c>
      <c r="D33" s="200">
        <v>0</v>
      </c>
      <c r="E33" s="200">
        <v>0</v>
      </c>
      <c r="F33" s="200">
        <v>0</v>
      </c>
      <c r="G33" s="200">
        <v>0</v>
      </c>
      <c r="H33" s="217">
        <v>0</v>
      </c>
      <c r="I33" s="217">
        <v>0</v>
      </c>
      <c r="J33" s="217">
        <f>SUM(C33:I33)</f>
        <v>0</v>
      </c>
      <c r="L33" s="355"/>
    </row>
    <row r="34" spans="2:16" s="86" customFormat="1" outlineLevel="1">
      <c r="B34" s="204" t="s">
        <v>96</v>
      </c>
      <c r="C34" s="202">
        <f t="shared" ref="C34:H34" si="18">SUM(C35:C38)</f>
        <v>0</v>
      </c>
      <c r="D34" s="202">
        <f t="shared" si="18"/>
        <v>0</v>
      </c>
      <c r="E34" s="202">
        <f t="shared" si="18"/>
        <v>0</v>
      </c>
      <c r="F34" s="202">
        <f t="shared" si="18"/>
        <v>0</v>
      </c>
      <c r="G34" s="202">
        <f t="shared" si="18"/>
        <v>0</v>
      </c>
      <c r="H34" s="220">
        <f t="shared" si="18"/>
        <v>0</v>
      </c>
      <c r="I34" s="220">
        <v>0</v>
      </c>
      <c r="J34" s="123">
        <f t="shared" ref="J34" si="19">SUM(C34:I34)</f>
        <v>0</v>
      </c>
    </row>
    <row r="35" spans="2:16" hidden="1" outlineLevel="1">
      <c r="B35" s="310" t="s">
        <v>149</v>
      </c>
      <c r="C35" s="200">
        <v>0</v>
      </c>
      <c r="D35" s="200">
        <v>0</v>
      </c>
      <c r="E35" s="200">
        <v>0</v>
      </c>
      <c r="F35" s="200">
        <v>0</v>
      </c>
      <c r="G35" s="200">
        <v>0</v>
      </c>
      <c r="H35" s="217">
        <v>0</v>
      </c>
      <c r="I35" s="217"/>
      <c r="J35" s="217">
        <f>SUM(C35:H35)</f>
        <v>0</v>
      </c>
    </row>
    <row r="36" spans="2:16" hidden="1" outlineLevel="1">
      <c r="B36" s="310" t="s">
        <v>149</v>
      </c>
      <c r="C36" s="200">
        <v>0</v>
      </c>
      <c r="D36" s="200">
        <v>0</v>
      </c>
      <c r="E36" s="200">
        <v>0</v>
      </c>
      <c r="F36" s="200">
        <v>0</v>
      </c>
      <c r="G36" s="200">
        <v>0</v>
      </c>
      <c r="H36" s="217">
        <v>0</v>
      </c>
      <c r="I36" s="217">
        <v>0</v>
      </c>
      <c r="J36" s="217">
        <f>SUM(C36:I37)</f>
        <v>0</v>
      </c>
    </row>
    <row r="37" spans="2:16" hidden="1" outlineLevel="1">
      <c r="B37" s="310" t="s">
        <v>609</v>
      </c>
      <c r="C37" s="200">
        <v>0</v>
      </c>
      <c r="D37" s="200"/>
      <c r="E37" s="200"/>
      <c r="F37" s="200"/>
      <c r="G37" s="200">
        <v>0</v>
      </c>
      <c r="H37" s="217">
        <v>0</v>
      </c>
      <c r="I37" s="217">
        <v>0</v>
      </c>
      <c r="J37" s="217">
        <f t="shared" ref="J37" si="20">SUM(C37:I38)</f>
        <v>0</v>
      </c>
    </row>
    <row r="38" spans="2:16" hidden="1" outlineLevel="1">
      <c r="B38" s="310" t="s">
        <v>475</v>
      </c>
      <c r="C38" s="200">
        <v>0</v>
      </c>
      <c r="D38" s="200"/>
      <c r="E38" s="200"/>
      <c r="F38" s="200"/>
      <c r="G38" s="200">
        <v>0</v>
      </c>
      <c r="H38" s="217">
        <v>0</v>
      </c>
      <c r="I38" s="217">
        <v>0</v>
      </c>
      <c r="J38" s="217">
        <f>SUM(C38:I38)</f>
        <v>0</v>
      </c>
    </row>
    <row r="39" spans="2:16" ht="10.8" outlineLevel="1" thickBot="1">
      <c r="B39" s="56" t="s">
        <v>1010</v>
      </c>
      <c r="C39" s="156">
        <f>C29+C30-C34</f>
        <v>9396490</v>
      </c>
      <c r="D39" s="156">
        <f t="shared" ref="D39:I39" si="21">D29+D30-D34</f>
        <v>0</v>
      </c>
      <c r="E39" s="156">
        <f t="shared" si="21"/>
        <v>0</v>
      </c>
      <c r="F39" s="156">
        <f t="shared" si="21"/>
        <v>0</v>
      </c>
      <c r="G39" s="156">
        <f>G29+G30-G34</f>
        <v>6265991</v>
      </c>
      <c r="H39" s="156">
        <f>H29+H30-H34</f>
        <v>0</v>
      </c>
      <c r="I39" s="156">
        <f t="shared" si="21"/>
        <v>0</v>
      </c>
      <c r="J39" s="346">
        <f>J29+J30-J34</f>
        <v>15662481</v>
      </c>
    </row>
    <row r="40" spans="2:16" ht="11.4" hidden="1" outlineLevel="1" thickTop="1" thickBot="1">
      <c r="B40" s="466" t="s">
        <v>637</v>
      </c>
      <c r="C40" s="300">
        <v>0</v>
      </c>
      <c r="D40" s="300"/>
      <c r="E40" s="300"/>
      <c r="F40" s="300"/>
      <c r="G40" s="300">
        <v>0</v>
      </c>
      <c r="H40" s="503">
        <v>0</v>
      </c>
      <c r="I40" s="503">
        <v>0</v>
      </c>
      <c r="J40" s="503">
        <f>SUM(C40:I40)</f>
        <v>0</v>
      </c>
      <c r="M40" s="355"/>
    </row>
    <row r="41" spans="2:16" ht="11.4" outlineLevel="1" thickTop="1" thickBot="1">
      <c r="B41" s="394" t="s">
        <v>1011</v>
      </c>
      <c r="C41" s="300">
        <f>C20-C39-C26-C40</f>
        <v>3294815</v>
      </c>
      <c r="D41" s="300">
        <f t="shared" ref="D41:I41" si="22">D20-D39-D26-D40</f>
        <v>0</v>
      </c>
      <c r="E41" s="300">
        <f t="shared" si="22"/>
        <v>0</v>
      </c>
      <c r="F41" s="300">
        <f t="shared" si="22"/>
        <v>0</v>
      </c>
      <c r="G41" s="300">
        <f t="shared" si="22"/>
        <v>9357480</v>
      </c>
      <c r="H41" s="300">
        <f t="shared" si="22"/>
        <v>0</v>
      </c>
      <c r="I41" s="300">
        <f t="shared" si="22"/>
        <v>1964122</v>
      </c>
      <c r="J41" s="300">
        <f>J20-J39-J26-J40</f>
        <v>14616417</v>
      </c>
      <c r="M41" s="355"/>
    </row>
    <row r="42" spans="2:16" s="86" customFormat="1" ht="10.8" outlineLevel="1" thickTop="1">
      <c r="B42" s="3"/>
      <c r="C42" s="44"/>
      <c r="D42" s="44"/>
      <c r="E42" s="44"/>
      <c r="F42" s="44"/>
      <c r="G42" s="44"/>
      <c r="H42" s="133"/>
      <c r="I42" s="133"/>
      <c r="J42" s="301">
        <f>J41-Aktywa!D5</f>
        <v>0</v>
      </c>
      <c r="K42" s="502"/>
      <c r="M42" s="502"/>
    </row>
    <row r="43" spans="2:16" outlineLevel="1">
      <c r="B43" s="3"/>
      <c r="H43" s="308"/>
      <c r="I43" s="308"/>
    </row>
    <row r="44" spans="2:16" outlineLevel="1">
      <c r="B44" s="51" t="s">
        <v>884</v>
      </c>
      <c r="H44" s="133"/>
      <c r="I44" s="133"/>
    </row>
    <row r="45" spans="2:16" s="86" customFormat="1" outlineLevel="1">
      <c r="B45" s="51"/>
      <c r="C45" s="44"/>
      <c r="D45" s="44"/>
      <c r="E45" s="44"/>
      <c r="F45" s="44"/>
      <c r="G45" s="44"/>
      <c r="H45" s="133"/>
      <c r="I45" s="133"/>
      <c r="J45" s="44"/>
    </row>
    <row r="46" spans="2:16" ht="30.6" outlineLevel="1">
      <c r="B46" s="70" t="s">
        <v>294</v>
      </c>
      <c r="C46" s="115" t="s">
        <v>155</v>
      </c>
      <c r="D46" s="70" t="s">
        <v>156</v>
      </c>
      <c r="E46" s="115" t="s">
        <v>157</v>
      </c>
      <c r="F46" s="70" t="s">
        <v>158</v>
      </c>
      <c r="G46" s="115" t="s">
        <v>588</v>
      </c>
      <c r="H46" s="115" t="s">
        <v>215</v>
      </c>
      <c r="I46" s="115" t="s">
        <v>634</v>
      </c>
      <c r="J46" s="115" t="s">
        <v>352</v>
      </c>
      <c r="L46" s="504"/>
      <c r="M46" s="504"/>
      <c r="N46" s="504"/>
      <c r="O46" s="504"/>
      <c r="P46" s="504"/>
    </row>
    <row r="47" spans="2:16" outlineLevel="1">
      <c r="B47" s="327" t="s">
        <v>857</v>
      </c>
      <c r="C47" s="328">
        <v>10334581</v>
      </c>
      <c r="D47" s="328">
        <v>0</v>
      </c>
      <c r="E47" s="328">
        <v>0</v>
      </c>
      <c r="F47" s="328">
        <v>0</v>
      </c>
      <c r="G47" s="328">
        <v>15256676</v>
      </c>
      <c r="H47" s="328">
        <v>106881</v>
      </c>
      <c r="I47" s="328">
        <v>3962957</v>
      </c>
      <c r="J47" s="347">
        <f>SUM(C47:I47)</f>
        <v>29661095</v>
      </c>
      <c r="L47" s="504"/>
      <c r="M47" s="504"/>
      <c r="N47" s="504"/>
      <c r="O47" s="504"/>
      <c r="P47" s="504"/>
    </row>
    <row r="48" spans="2:16" hidden="1" outlineLevel="1">
      <c r="B48" s="465" t="s">
        <v>611</v>
      </c>
      <c r="C48" s="328">
        <v>0</v>
      </c>
      <c r="D48" s="328"/>
      <c r="E48" s="328"/>
      <c r="F48" s="328"/>
      <c r="G48" s="328">
        <v>0</v>
      </c>
      <c r="H48" s="328">
        <v>0</v>
      </c>
      <c r="I48" s="328">
        <v>0</v>
      </c>
      <c r="J48" s="347">
        <f t="shared" ref="J48:J49" si="23">SUM(C48:I48)</f>
        <v>0</v>
      </c>
      <c r="L48" s="504"/>
      <c r="M48" s="504"/>
      <c r="N48" s="504"/>
      <c r="O48" s="504"/>
      <c r="P48" s="504"/>
    </row>
    <row r="49" spans="2:16" ht="20.399999999999999" hidden="1" outlineLevel="1">
      <c r="B49" s="419" t="s">
        <v>661</v>
      </c>
      <c r="C49" s="328">
        <f>C47+C48</f>
        <v>10334581</v>
      </c>
      <c r="D49" s="328">
        <f t="shared" ref="D49:I49" si="24">D47+D48</f>
        <v>0</v>
      </c>
      <c r="E49" s="328">
        <f t="shared" si="24"/>
        <v>0</v>
      </c>
      <c r="F49" s="328">
        <f t="shared" si="24"/>
        <v>0</v>
      </c>
      <c r="G49" s="328">
        <f t="shared" si="24"/>
        <v>15256676</v>
      </c>
      <c r="H49" s="328">
        <f t="shared" si="24"/>
        <v>106881</v>
      </c>
      <c r="I49" s="328">
        <f t="shared" si="24"/>
        <v>3962957</v>
      </c>
      <c r="J49" s="347">
        <f t="shared" si="23"/>
        <v>29661095</v>
      </c>
      <c r="L49" s="504"/>
      <c r="M49" s="504"/>
      <c r="N49" s="504"/>
      <c r="O49" s="504"/>
      <c r="P49" s="504"/>
    </row>
    <row r="50" spans="2:16" outlineLevel="1">
      <c r="B50" s="204" t="s">
        <v>97</v>
      </c>
      <c r="C50" s="202">
        <f t="shared" ref="C50:I50" si="25">SUM(C51:C54)</f>
        <v>2686162</v>
      </c>
      <c r="D50" s="202">
        <f t="shared" si="25"/>
        <v>0</v>
      </c>
      <c r="E50" s="202">
        <f t="shared" si="25"/>
        <v>0</v>
      </c>
      <c r="F50" s="202">
        <f t="shared" si="25"/>
        <v>0</v>
      </c>
      <c r="G50" s="202">
        <f t="shared" si="25"/>
        <v>220908</v>
      </c>
      <c r="H50" s="202">
        <f t="shared" si="25"/>
        <v>17549</v>
      </c>
      <c r="I50" s="202">
        <f t="shared" si="25"/>
        <v>1410446</v>
      </c>
      <c r="J50" s="220">
        <f>SUM(J51:J54)</f>
        <v>4335065</v>
      </c>
    </row>
    <row r="51" spans="2:16" outlineLevel="1">
      <c r="B51" s="310" t="s">
        <v>410</v>
      </c>
      <c r="C51" s="200">
        <v>0</v>
      </c>
      <c r="D51" s="200">
        <v>0</v>
      </c>
      <c r="E51" s="200">
        <v>0</v>
      </c>
      <c r="F51" s="200">
        <v>0</v>
      </c>
      <c r="G51" s="200">
        <v>220908</v>
      </c>
      <c r="H51" s="217">
        <v>17549</v>
      </c>
      <c r="I51" s="217">
        <v>0</v>
      </c>
      <c r="J51" s="217">
        <f>SUM(C51:I51)</f>
        <v>238457</v>
      </c>
    </row>
    <row r="52" spans="2:16" ht="24" hidden="1" customHeight="1" outlineLevel="1">
      <c r="B52" s="348" t="s">
        <v>148</v>
      </c>
      <c r="C52" s="200"/>
      <c r="D52" s="200"/>
      <c r="E52" s="200"/>
      <c r="F52" s="200"/>
      <c r="G52" s="200"/>
      <c r="H52" s="217"/>
      <c r="I52" s="217"/>
      <c r="J52" s="217">
        <f>SUM(C52:H52)</f>
        <v>0</v>
      </c>
    </row>
    <row r="53" spans="2:16" outlineLevel="1">
      <c r="B53" s="348" t="s">
        <v>664</v>
      </c>
      <c r="C53" s="200">
        <v>2686162</v>
      </c>
      <c r="D53" s="200">
        <v>0</v>
      </c>
      <c r="E53" s="200">
        <v>0</v>
      </c>
      <c r="F53" s="200">
        <v>0</v>
      </c>
      <c r="G53" s="200">
        <v>0</v>
      </c>
      <c r="H53" s="217">
        <v>0</v>
      </c>
      <c r="I53" s="217">
        <v>1401454</v>
      </c>
      <c r="J53" s="217">
        <f>SUM(C53:I53)</f>
        <v>4087616</v>
      </c>
    </row>
    <row r="54" spans="2:16">
      <c r="B54" s="310" t="s">
        <v>475</v>
      </c>
      <c r="C54" s="200">
        <v>0</v>
      </c>
      <c r="D54" s="200">
        <v>0</v>
      </c>
      <c r="E54" s="200">
        <v>0</v>
      </c>
      <c r="F54" s="200"/>
      <c r="G54" s="200">
        <v>0</v>
      </c>
      <c r="H54" s="217">
        <v>0</v>
      </c>
      <c r="I54" s="217">
        <v>8992</v>
      </c>
      <c r="J54" s="217">
        <f>SUM(C54:I54)</f>
        <v>8992</v>
      </c>
    </row>
    <row r="55" spans="2:16">
      <c r="B55" s="204" t="s">
        <v>96</v>
      </c>
      <c r="C55" s="202">
        <f>SUM(C56:C60)</f>
        <v>0</v>
      </c>
      <c r="D55" s="202">
        <f t="shared" ref="D55:I55" si="26">SUM(D56:D60)</f>
        <v>0</v>
      </c>
      <c r="E55" s="202">
        <f t="shared" si="26"/>
        <v>0</v>
      </c>
      <c r="F55" s="202">
        <f t="shared" si="26"/>
        <v>0</v>
      </c>
      <c r="G55" s="202">
        <f t="shared" si="26"/>
        <v>0</v>
      </c>
      <c r="H55" s="202">
        <f t="shared" si="26"/>
        <v>0</v>
      </c>
      <c r="I55" s="202">
        <f t="shared" si="26"/>
        <v>2759194</v>
      </c>
      <c r="J55" s="220">
        <f t="shared" ref="J55" si="27">SUM(J57:J60)</f>
        <v>2759194</v>
      </c>
    </row>
    <row r="56" spans="2:16" hidden="1">
      <c r="B56" s="348" t="s">
        <v>665</v>
      </c>
      <c r="C56" s="200">
        <v>0</v>
      </c>
      <c r="D56" s="200"/>
      <c r="E56" s="200"/>
      <c r="F56" s="200"/>
      <c r="G56" s="200">
        <v>0</v>
      </c>
      <c r="H56" s="220">
        <v>0</v>
      </c>
      <c r="I56" s="217">
        <v>0</v>
      </c>
      <c r="J56" s="217">
        <f>SUM(G56:I56)</f>
        <v>0</v>
      </c>
    </row>
    <row r="57" spans="2:16" hidden="1">
      <c r="B57" s="310" t="s">
        <v>149</v>
      </c>
      <c r="C57" s="200">
        <v>0</v>
      </c>
      <c r="D57" s="200">
        <v>0</v>
      </c>
      <c r="E57" s="200">
        <v>0</v>
      </c>
      <c r="F57" s="200">
        <v>0</v>
      </c>
      <c r="G57" s="200">
        <v>0</v>
      </c>
      <c r="H57" s="217">
        <v>0</v>
      </c>
      <c r="I57" s="217">
        <v>0</v>
      </c>
      <c r="J57" s="217">
        <f t="shared" ref="J57:J58" si="28">SUM(G57:I57)</f>
        <v>0</v>
      </c>
    </row>
    <row r="58" spans="2:16" hidden="1">
      <c r="B58" s="348" t="s">
        <v>475</v>
      </c>
      <c r="C58" s="200">
        <v>0</v>
      </c>
      <c r="D58" s="200">
        <v>0</v>
      </c>
      <c r="E58" s="200">
        <v>0</v>
      </c>
      <c r="F58" s="200">
        <v>0</v>
      </c>
      <c r="G58" s="200">
        <v>0</v>
      </c>
      <c r="H58" s="217">
        <v>0</v>
      </c>
      <c r="I58" s="217">
        <v>0</v>
      </c>
      <c r="J58" s="217">
        <f t="shared" si="28"/>
        <v>0</v>
      </c>
    </row>
    <row r="59" spans="2:16" s="103" customFormat="1" outlineLevel="1">
      <c r="B59" s="310" t="s">
        <v>635</v>
      </c>
      <c r="C59" s="200">
        <v>0</v>
      </c>
      <c r="D59" s="200"/>
      <c r="E59" s="200"/>
      <c r="F59" s="200"/>
      <c r="G59" s="200">
        <v>0</v>
      </c>
      <c r="H59" s="217">
        <v>0</v>
      </c>
      <c r="I59" s="217">
        <v>2686162</v>
      </c>
      <c r="J59" s="217">
        <f t="shared" ref="J59:J60" si="29">SUM(C59:I59)</f>
        <v>2686162</v>
      </c>
    </row>
    <row r="60" spans="2:16" ht="14.25" customHeight="1" outlineLevel="1">
      <c r="B60" s="348" t="s">
        <v>149</v>
      </c>
      <c r="C60" s="200">
        <v>0</v>
      </c>
      <c r="D60" s="200"/>
      <c r="E60" s="200"/>
      <c r="F60" s="200"/>
      <c r="G60" s="200">
        <v>0</v>
      </c>
      <c r="H60" s="217">
        <v>0</v>
      </c>
      <c r="I60" s="217">
        <v>73032</v>
      </c>
      <c r="J60" s="217">
        <f t="shared" si="29"/>
        <v>73032</v>
      </c>
    </row>
    <row r="61" spans="2:16" ht="10.8" outlineLevel="1" thickBot="1">
      <c r="B61" s="394" t="s">
        <v>856</v>
      </c>
      <c r="C61" s="156">
        <f>C49+C50-C55</f>
        <v>13020743</v>
      </c>
      <c r="D61" s="156">
        <f t="shared" ref="D61:I61" si="30">D49+D50-D55</f>
        <v>0</v>
      </c>
      <c r="E61" s="156">
        <f t="shared" si="30"/>
        <v>0</v>
      </c>
      <c r="F61" s="156">
        <f t="shared" si="30"/>
        <v>0</v>
      </c>
      <c r="G61" s="156">
        <f t="shared" si="30"/>
        <v>15477584</v>
      </c>
      <c r="H61" s="156">
        <f t="shared" si="30"/>
        <v>124430</v>
      </c>
      <c r="I61" s="156">
        <f t="shared" si="30"/>
        <v>2614209</v>
      </c>
      <c r="J61" s="346">
        <f>SUM(C61:I61)</f>
        <v>31236966</v>
      </c>
      <c r="K61" s="355"/>
    </row>
    <row r="62" spans="2:16" ht="10.8" outlineLevel="1" thickTop="1">
      <c r="B62" s="598" t="s">
        <v>885</v>
      </c>
      <c r="C62" s="352">
        <v>1419519</v>
      </c>
      <c r="D62" s="352">
        <v>0</v>
      </c>
      <c r="E62" s="352">
        <v>0</v>
      </c>
      <c r="F62" s="352">
        <v>0</v>
      </c>
      <c r="G62" s="352">
        <v>150000</v>
      </c>
      <c r="H62" s="352">
        <v>0</v>
      </c>
      <c r="I62" s="352">
        <v>856252</v>
      </c>
      <c r="J62" s="499">
        <f>SUM(C62:I62)</f>
        <v>2425771</v>
      </c>
      <c r="K62" s="355"/>
    </row>
    <row r="63" spans="2:16" hidden="1" outlineLevel="1">
      <c r="B63" s="465" t="s">
        <v>611</v>
      </c>
      <c r="C63" s="459">
        <v>0</v>
      </c>
      <c r="D63" s="459"/>
      <c r="E63" s="459"/>
      <c r="F63" s="459"/>
      <c r="G63" s="459">
        <v>0</v>
      </c>
      <c r="H63" s="459">
        <v>0</v>
      </c>
      <c r="I63" s="459">
        <v>0</v>
      </c>
      <c r="J63" s="217">
        <f>SUM(C63:I63)</f>
        <v>0</v>
      </c>
      <c r="K63" s="355"/>
    </row>
    <row r="64" spans="2:16" ht="20.399999999999999" hidden="1" outlineLevel="1">
      <c r="B64" s="327" t="s">
        <v>663</v>
      </c>
      <c r="C64" s="352">
        <f>C62+C63</f>
        <v>1419519</v>
      </c>
      <c r="D64" s="352">
        <f t="shared" ref="D64:I64" si="31">D62+D63</f>
        <v>0</v>
      </c>
      <c r="E64" s="352">
        <f t="shared" si="31"/>
        <v>0</v>
      </c>
      <c r="F64" s="352">
        <f t="shared" si="31"/>
        <v>0</v>
      </c>
      <c r="G64" s="352">
        <f t="shared" si="31"/>
        <v>150000</v>
      </c>
      <c r="H64" s="352">
        <f t="shared" si="31"/>
        <v>0</v>
      </c>
      <c r="I64" s="352">
        <f t="shared" si="31"/>
        <v>856252</v>
      </c>
      <c r="J64" s="352">
        <f>SUM(C64:I64)</f>
        <v>2425771</v>
      </c>
      <c r="K64" s="355"/>
    </row>
    <row r="65" spans="2:13" outlineLevel="1">
      <c r="B65" s="507" t="s">
        <v>666</v>
      </c>
      <c r="C65" s="459">
        <v>177519</v>
      </c>
      <c r="D65" s="459"/>
      <c r="E65" s="459"/>
      <c r="F65" s="459"/>
      <c r="G65" s="459">
        <v>0</v>
      </c>
      <c r="H65" s="459">
        <v>0</v>
      </c>
      <c r="I65" s="459">
        <v>0</v>
      </c>
      <c r="J65" s="217">
        <f t="shared" ref="J65:J66" si="32">SUM(C65:I65)</f>
        <v>177519</v>
      </c>
      <c r="K65" s="355"/>
    </row>
    <row r="66" spans="2:13" outlineLevel="1">
      <c r="B66" s="507" t="s">
        <v>633</v>
      </c>
      <c r="C66" s="459">
        <v>0</v>
      </c>
      <c r="D66" s="459"/>
      <c r="E66" s="459"/>
      <c r="F66" s="459"/>
      <c r="G66" s="459">
        <v>0</v>
      </c>
      <c r="H66" s="459">
        <v>0</v>
      </c>
      <c r="I66" s="459">
        <v>0</v>
      </c>
      <c r="J66" s="217">
        <f t="shared" si="32"/>
        <v>0</v>
      </c>
      <c r="K66" s="355"/>
    </row>
    <row r="67" spans="2:13" outlineLevel="1">
      <c r="B67" s="327" t="s">
        <v>886</v>
      </c>
      <c r="C67" s="352">
        <f>C64+C65-C66</f>
        <v>1597038</v>
      </c>
      <c r="D67" s="352">
        <f t="shared" ref="D67:I67" si="33">D64+D65-D66</f>
        <v>0</v>
      </c>
      <c r="E67" s="352">
        <f t="shared" si="33"/>
        <v>0</v>
      </c>
      <c r="F67" s="352">
        <f t="shared" si="33"/>
        <v>0</v>
      </c>
      <c r="G67" s="352">
        <f t="shared" si="33"/>
        <v>150000</v>
      </c>
      <c r="H67" s="352">
        <f t="shared" si="33"/>
        <v>0</v>
      </c>
      <c r="I67" s="352">
        <f t="shared" si="33"/>
        <v>856252</v>
      </c>
      <c r="J67" s="352">
        <f>SUM(C67:I67)</f>
        <v>2603290</v>
      </c>
      <c r="K67" s="355"/>
    </row>
    <row r="68" spans="2:13" outlineLevel="1">
      <c r="B68" s="56" t="s">
        <v>855</v>
      </c>
      <c r="C68" s="88">
        <v>6061261</v>
      </c>
      <c r="D68" s="88">
        <v>0</v>
      </c>
      <c r="E68" s="88">
        <v>0</v>
      </c>
      <c r="F68" s="88">
        <v>0</v>
      </c>
      <c r="G68" s="88">
        <v>5622015</v>
      </c>
      <c r="H68" s="123">
        <v>0</v>
      </c>
      <c r="I68" s="123">
        <v>0</v>
      </c>
      <c r="J68" s="123">
        <f>SUM(C68:I68)</f>
        <v>11683276</v>
      </c>
    </row>
    <row r="69" spans="2:13" hidden="1" outlineLevel="1">
      <c r="B69" s="465" t="s">
        <v>611</v>
      </c>
      <c r="C69" s="88">
        <v>0</v>
      </c>
      <c r="D69" s="88"/>
      <c r="E69" s="88"/>
      <c r="F69" s="88"/>
      <c r="G69" s="88">
        <v>0</v>
      </c>
      <c r="H69" s="123">
        <v>0</v>
      </c>
      <c r="I69" s="123">
        <v>0</v>
      </c>
      <c r="J69" s="123">
        <f>SUM(C69:I69)</f>
        <v>0</v>
      </c>
    </row>
    <row r="70" spans="2:13" ht="20.399999999999999" hidden="1" outlineLevel="1">
      <c r="B70" s="419" t="s">
        <v>662</v>
      </c>
      <c r="C70" s="88">
        <f>C68+C69</f>
        <v>6061261</v>
      </c>
      <c r="D70" s="88">
        <f t="shared" ref="D70:I70" si="34">D68+D69</f>
        <v>0</v>
      </c>
      <c r="E70" s="88">
        <f t="shared" si="34"/>
        <v>0</v>
      </c>
      <c r="F70" s="88">
        <f t="shared" si="34"/>
        <v>0</v>
      </c>
      <c r="G70" s="88">
        <f t="shared" si="34"/>
        <v>5622015</v>
      </c>
      <c r="H70" s="88">
        <f t="shared" si="34"/>
        <v>0</v>
      </c>
      <c r="I70" s="88">
        <f t="shared" si="34"/>
        <v>0</v>
      </c>
      <c r="J70" s="123">
        <f>SUM(C70:I70)</f>
        <v>11683276</v>
      </c>
    </row>
    <row r="71" spans="2:13" outlineLevel="1">
      <c r="B71" s="204" t="s">
        <v>97</v>
      </c>
      <c r="C71" s="202">
        <f t="shared" ref="C71:J71" si="35">SUM(C72:C74)</f>
        <v>1857670</v>
      </c>
      <c r="D71" s="202">
        <f t="shared" si="35"/>
        <v>0</v>
      </c>
      <c r="E71" s="202">
        <f t="shared" si="35"/>
        <v>0</v>
      </c>
      <c r="F71" s="202">
        <f t="shared" si="35"/>
        <v>0</v>
      </c>
      <c r="G71" s="202">
        <f t="shared" si="35"/>
        <v>391395</v>
      </c>
      <c r="H71" s="220">
        <f t="shared" si="35"/>
        <v>0</v>
      </c>
      <c r="I71" s="220">
        <v>0</v>
      </c>
      <c r="J71" s="220">
        <f t="shared" si="35"/>
        <v>2249065</v>
      </c>
    </row>
    <row r="72" spans="2:13" outlineLevel="1">
      <c r="B72" s="310" t="s">
        <v>152</v>
      </c>
      <c r="C72" s="200">
        <v>1857670</v>
      </c>
      <c r="D72" s="200"/>
      <c r="E72" s="200"/>
      <c r="F72" s="200"/>
      <c r="G72" s="200">
        <v>391395</v>
      </c>
      <c r="H72" s="217">
        <v>0</v>
      </c>
      <c r="I72" s="217">
        <v>0</v>
      </c>
      <c r="J72" s="217">
        <f>SUM(C72:I72)</f>
        <v>2249065</v>
      </c>
      <c r="K72" s="355"/>
    </row>
    <row r="73" spans="2:13" hidden="1" outlineLevel="1">
      <c r="B73" s="310" t="s">
        <v>148</v>
      </c>
      <c r="C73" s="200"/>
      <c r="D73" s="200"/>
      <c r="E73" s="200"/>
      <c r="F73" s="200"/>
      <c r="G73" s="200"/>
      <c r="H73" s="217"/>
      <c r="I73" s="217"/>
      <c r="J73" s="217">
        <f>SUM(C73:H73)</f>
        <v>0</v>
      </c>
    </row>
    <row r="74" spans="2:13" ht="10.199999999999999" hidden="1" customHeight="1" outlineLevel="1">
      <c r="B74" s="310" t="s">
        <v>475</v>
      </c>
      <c r="C74" s="200">
        <v>0</v>
      </c>
      <c r="D74" s="200">
        <v>0</v>
      </c>
      <c r="E74" s="200">
        <v>0</v>
      </c>
      <c r="F74" s="200"/>
      <c r="G74" s="200">
        <v>0</v>
      </c>
      <c r="H74" s="217">
        <v>0</v>
      </c>
      <c r="I74" s="217">
        <v>0</v>
      </c>
      <c r="J74" s="217">
        <f>SUM(C74:I74)</f>
        <v>0</v>
      </c>
    </row>
    <row r="75" spans="2:13" outlineLevel="1">
      <c r="B75" s="204" t="s">
        <v>96</v>
      </c>
      <c r="C75" s="202">
        <f t="shared" ref="C75:J75" si="36">SUM(C76:C79)</f>
        <v>0</v>
      </c>
      <c r="D75" s="202">
        <f t="shared" si="36"/>
        <v>0</v>
      </c>
      <c r="E75" s="202">
        <f t="shared" si="36"/>
        <v>0</v>
      </c>
      <c r="F75" s="202">
        <f t="shared" si="36"/>
        <v>0</v>
      </c>
      <c r="G75" s="202">
        <f t="shared" si="36"/>
        <v>0</v>
      </c>
      <c r="H75" s="220">
        <f t="shared" si="36"/>
        <v>0</v>
      </c>
      <c r="I75" s="220">
        <v>0</v>
      </c>
      <c r="J75" s="220">
        <f t="shared" si="36"/>
        <v>0</v>
      </c>
    </row>
    <row r="76" spans="2:13" hidden="1" outlineLevel="1">
      <c r="B76" s="310" t="s">
        <v>149</v>
      </c>
      <c r="C76" s="200">
        <v>0</v>
      </c>
      <c r="D76" s="200">
        <v>0</v>
      </c>
      <c r="E76" s="200">
        <v>0</v>
      </c>
      <c r="F76" s="200">
        <v>0</v>
      </c>
      <c r="G76" s="200">
        <v>0</v>
      </c>
      <c r="H76" s="217">
        <v>0</v>
      </c>
      <c r="I76" s="217"/>
      <c r="J76" s="217">
        <f>SUM(C76:H76)</f>
        <v>0</v>
      </c>
    </row>
    <row r="77" spans="2:13" hidden="1" outlineLevel="1">
      <c r="B77" s="310" t="s">
        <v>149</v>
      </c>
      <c r="C77" s="200">
        <v>0</v>
      </c>
      <c r="D77" s="200">
        <v>0</v>
      </c>
      <c r="E77" s="200">
        <v>0</v>
      </c>
      <c r="F77" s="200">
        <v>0</v>
      </c>
      <c r="G77" s="200">
        <v>0</v>
      </c>
      <c r="H77" s="217">
        <v>0</v>
      </c>
      <c r="I77" s="217">
        <v>0</v>
      </c>
      <c r="J77" s="217">
        <f>SUM(C77:I77)</f>
        <v>0</v>
      </c>
    </row>
    <row r="78" spans="2:13" hidden="1" outlineLevel="1">
      <c r="B78" s="526" t="s">
        <v>852</v>
      </c>
      <c r="C78" s="200">
        <v>0</v>
      </c>
      <c r="D78" s="200"/>
      <c r="E78" s="200"/>
      <c r="F78" s="200"/>
      <c r="G78" s="200">
        <v>0</v>
      </c>
      <c r="H78" s="217">
        <v>0</v>
      </c>
      <c r="I78" s="217">
        <v>0</v>
      </c>
      <c r="J78" s="217">
        <f>SUM(C78:H78)</f>
        <v>0</v>
      </c>
    </row>
    <row r="79" spans="2:13" ht="13.95" hidden="1" customHeight="1" outlineLevel="1">
      <c r="B79" s="310" t="s">
        <v>475</v>
      </c>
      <c r="C79" s="200">
        <v>0</v>
      </c>
      <c r="D79" s="200">
        <v>0</v>
      </c>
      <c r="E79" s="200">
        <v>0</v>
      </c>
      <c r="F79" s="200"/>
      <c r="G79" s="200">
        <v>0</v>
      </c>
      <c r="H79" s="217">
        <v>0</v>
      </c>
      <c r="I79" s="217">
        <v>0</v>
      </c>
      <c r="J79" s="217">
        <f>SUM(C79:I79)</f>
        <v>0</v>
      </c>
    </row>
    <row r="80" spans="2:13" ht="10.8" outlineLevel="1" thickBot="1">
      <c r="B80" s="56" t="s">
        <v>854</v>
      </c>
      <c r="C80" s="156">
        <f>C70+C71-C75</f>
        <v>7918931</v>
      </c>
      <c r="D80" s="156">
        <f t="shared" ref="D80:I80" si="37">D70+D71-D75</f>
        <v>0</v>
      </c>
      <c r="E80" s="156">
        <f t="shared" si="37"/>
        <v>0</v>
      </c>
      <c r="F80" s="156">
        <f t="shared" si="37"/>
        <v>0</v>
      </c>
      <c r="G80" s="156">
        <f t="shared" si="37"/>
        <v>6013410</v>
      </c>
      <c r="H80" s="156">
        <f t="shared" si="37"/>
        <v>0</v>
      </c>
      <c r="I80" s="156">
        <f t="shared" si="37"/>
        <v>0</v>
      </c>
      <c r="J80" s="346">
        <f>SUM(C80:I80)</f>
        <v>13932341</v>
      </c>
      <c r="M80" s="355"/>
    </row>
    <row r="81" spans="2:14" ht="11.4" hidden="1" outlineLevel="1" thickTop="1" thickBot="1">
      <c r="B81" s="466" t="s">
        <v>637</v>
      </c>
      <c r="C81" s="300">
        <v>0</v>
      </c>
      <c r="D81" s="300"/>
      <c r="E81" s="300"/>
      <c r="F81" s="300"/>
      <c r="G81" s="300">
        <v>0</v>
      </c>
      <c r="H81" s="300">
        <v>0</v>
      </c>
      <c r="I81" s="300">
        <v>0</v>
      </c>
      <c r="J81" s="503">
        <f>SUM(C81:I81)</f>
        <v>0</v>
      </c>
      <c r="M81" s="355"/>
    </row>
    <row r="82" spans="2:14" ht="11.4" outlineLevel="1" thickTop="1" thickBot="1">
      <c r="B82" s="394" t="s">
        <v>853</v>
      </c>
      <c r="C82" s="300">
        <f>C61-C80-C81-C67</f>
        <v>3504774</v>
      </c>
      <c r="D82" s="300">
        <f t="shared" ref="D82:I82" si="38">D61-D80-D81-D67</f>
        <v>0</v>
      </c>
      <c r="E82" s="300">
        <f t="shared" si="38"/>
        <v>0</v>
      </c>
      <c r="F82" s="300">
        <f t="shared" si="38"/>
        <v>0</v>
      </c>
      <c r="G82" s="300">
        <f t="shared" si="38"/>
        <v>9314174</v>
      </c>
      <c r="H82" s="300">
        <f t="shared" si="38"/>
        <v>124430</v>
      </c>
      <c r="I82" s="300">
        <f t="shared" si="38"/>
        <v>1757957</v>
      </c>
      <c r="J82" s="300">
        <f>SUM(C82:I82)</f>
        <v>14701335</v>
      </c>
      <c r="K82" s="355"/>
      <c r="M82" s="355"/>
    </row>
    <row r="83" spans="2:14" ht="10.8" outlineLevel="1" thickTop="1">
      <c r="C83" s="104"/>
      <c r="D83" s="104"/>
      <c r="E83" s="104"/>
      <c r="F83" s="33"/>
      <c r="H83" s="133"/>
      <c r="I83" s="133"/>
      <c r="J83" s="301">
        <f>J82-Aktywa!E5</f>
        <v>0</v>
      </c>
      <c r="K83" s="355"/>
      <c r="L83" s="355"/>
      <c r="N83" s="355"/>
    </row>
    <row r="84" spans="2:14" outlineLevel="1">
      <c r="B84" s="3"/>
      <c r="C84" s="355"/>
      <c r="D84" s="355">
        <f t="shared" ref="D84:F84" si="39">D61-D80</f>
        <v>0</v>
      </c>
      <c r="E84" s="355">
        <f t="shared" si="39"/>
        <v>0</v>
      </c>
      <c r="F84" s="355">
        <f t="shared" si="39"/>
        <v>0</v>
      </c>
      <c r="G84" s="355"/>
      <c r="H84" s="355"/>
      <c r="I84" s="355"/>
    </row>
    <row r="85" spans="2:14" ht="28.5" customHeight="1" outlineLevel="1">
      <c r="C85" s="104"/>
      <c r="D85" s="104"/>
      <c r="E85" s="104"/>
      <c r="F85" s="33"/>
      <c r="H85" s="355"/>
      <c r="I85" s="355"/>
    </row>
    <row r="86" spans="2:14" outlineLevel="1">
      <c r="B86" s="51" t="s">
        <v>137</v>
      </c>
      <c r="F86" s="101"/>
      <c r="G86" s="101"/>
      <c r="H86" s="101"/>
      <c r="I86" s="101"/>
      <c r="J86" s="91"/>
    </row>
    <row r="87" spans="2:14" outlineLevel="1">
      <c r="B87" s="51"/>
      <c r="F87" s="101"/>
      <c r="G87" s="101"/>
      <c r="H87" s="101"/>
      <c r="I87" s="101"/>
      <c r="J87" s="91"/>
    </row>
    <row r="88" spans="2:14" outlineLevel="1">
      <c r="B88" s="70" t="s">
        <v>294</v>
      </c>
      <c r="C88" s="420">
        <v>44926</v>
      </c>
      <c r="D88" s="420">
        <v>43831</v>
      </c>
      <c r="E88" s="420">
        <v>43832</v>
      </c>
      <c r="F88" s="420">
        <v>43833</v>
      </c>
      <c r="G88" s="420">
        <v>44561</v>
      </c>
      <c r="H88" s="101"/>
      <c r="I88" s="101"/>
      <c r="J88" s="91"/>
    </row>
    <row r="89" spans="2:14" outlineLevel="1">
      <c r="B89" s="206" t="s">
        <v>439</v>
      </c>
      <c r="C89" s="75">
        <v>14616417</v>
      </c>
      <c r="D89" s="75">
        <f>K41</f>
        <v>0</v>
      </c>
      <c r="E89" s="75">
        <f>L41</f>
        <v>0</v>
      </c>
      <c r="F89" s="75">
        <f>M41</f>
        <v>0</v>
      </c>
      <c r="G89" s="75">
        <v>14701335</v>
      </c>
      <c r="H89" s="101"/>
      <c r="I89" s="101"/>
      <c r="J89" s="91"/>
    </row>
    <row r="90" spans="2:14" ht="20.399999999999999" outlineLevel="1">
      <c r="B90" s="102" t="s">
        <v>440</v>
      </c>
      <c r="C90" s="75">
        <v>0</v>
      </c>
      <c r="D90" s="75">
        <v>1</v>
      </c>
      <c r="E90" s="75">
        <v>2</v>
      </c>
      <c r="F90" s="75">
        <v>3</v>
      </c>
      <c r="G90" s="75">
        <v>0</v>
      </c>
      <c r="H90" s="101"/>
      <c r="I90" s="101"/>
      <c r="J90" s="91"/>
    </row>
    <row r="91" spans="2:14" outlineLevel="1">
      <c r="B91" s="403" t="s">
        <v>25</v>
      </c>
      <c r="C91" s="88">
        <f>SUM(C89:C90)</f>
        <v>14616417</v>
      </c>
      <c r="D91" s="88">
        <f t="shared" ref="D91:G91" si="40">SUM(D89:D90)</f>
        <v>1</v>
      </c>
      <c r="E91" s="88">
        <f t="shared" si="40"/>
        <v>2</v>
      </c>
      <c r="F91" s="88">
        <f t="shared" si="40"/>
        <v>3</v>
      </c>
      <c r="G91" s="88">
        <f t="shared" si="40"/>
        <v>14701335</v>
      </c>
      <c r="H91" s="101"/>
      <c r="I91" s="101"/>
      <c r="J91" s="91"/>
    </row>
    <row r="92" spans="2:14" outlineLevel="1">
      <c r="C92" s="301">
        <f>Aktywa!D5</f>
        <v>14616417</v>
      </c>
      <c r="D92" s="301">
        <f>[7]Aktywa!E5-D89</f>
        <v>14712781</v>
      </c>
      <c r="E92" s="301" t="e">
        <f>[7]Aktywa!F5-E89</f>
        <v>#REF!</v>
      </c>
      <c r="F92" s="301" t="e">
        <f>[7]Aktywa!G5-F89</f>
        <v>#REF!</v>
      </c>
      <c r="G92" s="301">
        <f>Aktywa!E5</f>
        <v>14701335</v>
      </c>
      <c r="H92" s="101"/>
      <c r="I92" s="101"/>
      <c r="J92" s="91"/>
    </row>
    <row r="93" spans="2:14" outlineLevel="1">
      <c r="F93" s="101"/>
      <c r="G93" s="101"/>
      <c r="H93" s="101"/>
      <c r="I93" s="101"/>
      <c r="J93" s="91"/>
    </row>
    <row r="94" spans="2:14" hidden="1" outlineLevel="1">
      <c r="B94" s="51" t="s">
        <v>138</v>
      </c>
      <c r="F94" s="101"/>
      <c r="G94" s="101"/>
      <c r="H94" s="101"/>
      <c r="I94" s="101"/>
      <c r="J94" s="91"/>
    </row>
    <row r="95" spans="2:14" hidden="1" outlineLevel="1">
      <c r="B95" s="51"/>
      <c r="F95" s="101"/>
      <c r="G95" s="101"/>
      <c r="H95" s="101"/>
      <c r="I95" s="101"/>
      <c r="J95" s="91"/>
    </row>
    <row r="96" spans="2:14" ht="13.95" hidden="1" customHeight="1" outlineLevel="1">
      <c r="B96" s="100" t="s">
        <v>441</v>
      </c>
      <c r="C96" s="420">
        <f>C88</f>
        <v>44926</v>
      </c>
      <c r="D96" s="420">
        <f>D88</f>
        <v>43831</v>
      </c>
      <c r="F96" s="101"/>
      <c r="G96" s="101"/>
      <c r="H96" s="101"/>
      <c r="I96" s="101"/>
      <c r="J96" s="91"/>
    </row>
    <row r="97" spans="2:10" hidden="1" outlineLevel="1">
      <c r="B97" s="46"/>
      <c r="C97" s="75"/>
      <c r="D97" s="75"/>
      <c r="F97" s="101"/>
      <c r="G97" s="101"/>
      <c r="H97" s="101"/>
      <c r="I97" s="101"/>
      <c r="J97" s="91"/>
    </row>
    <row r="98" spans="2:10" hidden="1" outlineLevel="1">
      <c r="B98" s="46"/>
      <c r="C98" s="75"/>
      <c r="D98" s="75"/>
      <c r="F98" s="101"/>
      <c r="G98" s="101"/>
      <c r="H98" s="101"/>
      <c r="I98" s="101"/>
      <c r="J98" s="91"/>
    </row>
    <row r="99" spans="2:10" hidden="1" outlineLevel="1">
      <c r="B99" s="46"/>
      <c r="C99" s="75"/>
      <c r="D99" s="75"/>
      <c r="F99" s="101"/>
      <c r="G99" s="101"/>
      <c r="H99" s="101"/>
      <c r="I99" s="101"/>
      <c r="J99" s="91"/>
    </row>
    <row r="100" spans="2:10" hidden="1" outlineLevel="1">
      <c r="B100" s="46"/>
      <c r="C100" s="75"/>
      <c r="D100" s="75"/>
      <c r="F100" s="101"/>
      <c r="G100" s="101"/>
      <c r="H100" s="101"/>
      <c r="I100" s="101"/>
      <c r="J100" s="91"/>
    </row>
    <row r="101" spans="2:10" hidden="1" outlineLevel="1">
      <c r="B101" s="46"/>
      <c r="C101" s="75"/>
      <c r="D101" s="75"/>
      <c r="F101" s="101"/>
      <c r="G101" s="101"/>
      <c r="H101" s="101"/>
      <c r="I101" s="101"/>
      <c r="J101" s="91"/>
    </row>
    <row r="102" spans="2:10" ht="30.6" hidden="1" outlineLevel="1">
      <c r="B102" s="50" t="s">
        <v>139</v>
      </c>
      <c r="C102" s="231">
        <f>SUM(C97:C101)</f>
        <v>0</v>
      </c>
      <c r="D102" s="231">
        <f>SUM(D97:D101)</f>
        <v>0</v>
      </c>
      <c r="F102" s="101"/>
      <c r="G102" s="101"/>
      <c r="H102" s="101"/>
      <c r="I102" s="101"/>
      <c r="J102" s="91"/>
    </row>
    <row r="103" spans="2:10" hidden="1" outlineLevel="1">
      <c r="B103" s="72"/>
      <c r="C103" s="302"/>
      <c r="D103" s="302"/>
      <c r="F103" s="101"/>
      <c r="G103" s="101"/>
      <c r="H103" s="101"/>
      <c r="I103" s="101"/>
      <c r="J103" s="91"/>
    </row>
    <row r="104" spans="2:10" hidden="1" outlineLevel="1">
      <c r="B104" s="72"/>
      <c r="C104" s="302"/>
      <c r="D104" s="302"/>
      <c r="F104" s="101"/>
      <c r="G104" s="101"/>
      <c r="H104" s="101"/>
      <c r="I104" s="101"/>
      <c r="J104" s="91"/>
    </row>
    <row r="105" spans="2:10" hidden="1" outlineLevel="1">
      <c r="B105" s="51" t="s">
        <v>216</v>
      </c>
      <c r="C105" s="95"/>
      <c r="D105" s="95"/>
      <c r="F105" s="101"/>
      <c r="G105" s="101"/>
      <c r="H105" s="101"/>
      <c r="I105" s="101"/>
      <c r="J105" s="91"/>
    </row>
    <row r="106" spans="2:10" hidden="1" outlineLevel="1">
      <c r="B106" s="72"/>
      <c r="C106" s="95"/>
      <c r="D106" s="95"/>
      <c r="F106" s="101"/>
      <c r="G106" s="101"/>
      <c r="H106" s="101"/>
      <c r="I106" s="101"/>
      <c r="J106" s="91"/>
    </row>
    <row r="107" spans="2:10" hidden="1" outlineLevel="1">
      <c r="B107" s="112" t="s">
        <v>63</v>
      </c>
      <c r="C107" s="420">
        <f>C96</f>
        <v>44926</v>
      </c>
      <c r="D107" s="420">
        <f>D96</f>
        <v>43831</v>
      </c>
      <c r="F107" s="101"/>
      <c r="G107" s="101"/>
      <c r="H107" s="101"/>
      <c r="I107" s="101"/>
      <c r="J107" s="91"/>
    </row>
    <row r="108" spans="2:10" hidden="1" outlineLevel="1">
      <c r="B108" s="46"/>
      <c r="C108" s="75"/>
      <c r="D108" s="75"/>
      <c r="F108" s="101"/>
      <c r="G108" s="101"/>
      <c r="H108" s="101"/>
      <c r="I108" s="101"/>
      <c r="J108" s="91"/>
    </row>
    <row r="109" spans="2:10" hidden="1" outlineLevel="1">
      <c r="B109" s="46"/>
      <c r="C109" s="75"/>
      <c r="D109" s="75"/>
      <c r="F109" s="101"/>
      <c r="G109" s="101"/>
      <c r="H109" s="101"/>
      <c r="I109" s="101"/>
      <c r="J109" s="91"/>
    </row>
    <row r="110" spans="2:10" hidden="1" outlineLevel="1">
      <c r="B110" s="46"/>
      <c r="C110" s="75"/>
      <c r="D110" s="75"/>
      <c r="F110" s="101"/>
      <c r="G110" s="101"/>
      <c r="H110" s="101"/>
      <c r="I110" s="101"/>
      <c r="J110" s="91"/>
    </row>
    <row r="111" spans="2:10" hidden="1" outlineLevel="1">
      <c r="B111" s="46"/>
      <c r="C111" s="75"/>
      <c r="D111" s="75"/>
      <c r="F111" s="101"/>
      <c r="G111" s="101"/>
      <c r="H111" s="101"/>
      <c r="I111" s="101"/>
      <c r="J111" s="91"/>
    </row>
    <row r="112" spans="2:10" hidden="1" outlineLevel="1">
      <c r="B112" s="46"/>
      <c r="C112" s="75"/>
      <c r="D112" s="75"/>
      <c r="F112" s="101"/>
      <c r="G112" s="101"/>
      <c r="H112" s="101"/>
      <c r="I112" s="101"/>
      <c r="J112" s="91"/>
    </row>
    <row r="113" spans="2:11" hidden="1" outlineLevel="1">
      <c r="B113" s="46"/>
      <c r="C113" s="75"/>
      <c r="D113" s="75"/>
      <c r="F113" s="101"/>
      <c r="G113" s="101"/>
      <c r="H113" s="101"/>
      <c r="I113" s="101"/>
      <c r="J113" s="91"/>
    </row>
    <row r="114" spans="2:11" hidden="1" outlineLevel="1">
      <c r="B114" s="403" t="s">
        <v>64</v>
      </c>
      <c r="C114" s="74">
        <f>SUM(C108:C113)</f>
        <v>0</v>
      </c>
      <c r="D114" s="74">
        <f>SUM(D108:D113)</f>
        <v>0</v>
      </c>
      <c r="F114" s="101"/>
      <c r="G114" s="101"/>
      <c r="H114" s="101"/>
      <c r="I114" s="101"/>
      <c r="J114" s="91"/>
    </row>
    <row r="115" spans="2:11" hidden="1" outlineLevel="1">
      <c r="B115" s="72"/>
      <c r="C115" s="95"/>
      <c r="D115" s="95"/>
      <c r="F115" s="101"/>
      <c r="G115" s="101"/>
      <c r="H115" s="101"/>
      <c r="I115" s="101"/>
      <c r="J115" s="91"/>
    </row>
    <row r="116" spans="2:11" outlineLevel="1"/>
    <row r="117" spans="2:11" ht="21.75" customHeight="1" outlineLevel="1"/>
    <row r="118" spans="2:11" outlineLevel="1"/>
    <row r="123" spans="2:11">
      <c r="K123" s="412"/>
    </row>
    <row r="124" spans="2:11">
      <c r="K124" s="332"/>
    </row>
    <row r="125" spans="2:11">
      <c r="K125" s="355"/>
    </row>
    <row r="126" spans="2:11">
      <c r="K126" s="355"/>
    </row>
    <row r="127" spans="2:11">
      <c r="K127" s="355"/>
    </row>
    <row r="128" spans="2:11">
      <c r="K128" s="355"/>
    </row>
    <row r="129" spans="11:11">
      <c r="K129" s="355"/>
    </row>
    <row r="130" spans="11:11">
      <c r="K130" s="332"/>
    </row>
    <row r="134" spans="11:11">
      <c r="K134" s="412"/>
    </row>
    <row r="135" spans="11:11">
      <c r="K135" s="332"/>
    </row>
    <row r="136" spans="11:11">
      <c r="K136" s="355"/>
    </row>
    <row r="137" spans="11:11">
      <c r="K137" s="355"/>
    </row>
    <row r="138" spans="11:11">
      <c r="K138" s="355"/>
    </row>
    <row r="139" spans="11:11">
      <c r="K139" s="355"/>
    </row>
    <row r="140" spans="11:11">
      <c r="K140" s="355"/>
    </row>
    <row r="141" spans="11:11">
      <c r="K141" s="332"/>
    </row>
    <row r="144" spans="11:11">
      <c r="K144" s="91"/>
    </row>
    <row r="145" spans="11:11">
      <c r="K145" s="91"/>
    </row>
    <row r="146" spans="11:11">
      <c r="K146" s="91"/>
    </row>
    <row r="147" spans="11:11">
      <c r="K147" s="91"/>
    </row>
    <row r="148" spans="11:11">
      <c r="K148" s="91"/>
    </row>
    <row r="149" spans="11:11">
      <c r="K149" s="91"/>
    </row>
    <row r="150" spans="11:11">
      <c r="K150" s="91"/>
    </row>
    <row r="151" spans="11:11">
      <c r="K151" s="91"/>
    </row>
    <row r="152" spans="11:11">
      <c r="K152" s="91"/>
    </row>
    <row r="153" spans="11:11">
      <c r="K153" s="91"/>
    </row>
    <row r="154" spans="11:11">
      <c r="K154" s="91"/>
    </row>
    <row r="155" spans="11:11">
      <c r="K155" s="91"/>
    </row>
    <row r="156" spans="11:11">
      <c r="K156" s="91"/>
    </row>
    <row r="157" spans="11:11">
      <c r="K157" s="91"/>
    </row>
    <row r="158" spans="11:11">
      <c r="K158" s="91"/>
    </row>
    <row r="159" spans="11:11">
      <c r="K159" s="91"/>
    </row>
    <row r="160" spans="11:11">
      <c r="K160" s="91"/>
    </row>
    <row r="161" spans="11:11">
      <c r="K161" s="91"/>
    </row>
    <row r="162" spans="11:11">
      <c r="K162" s="91"/>
    </row>
    <row r="163" spans="11:11">
      <c r="K163" s="91"/>
    </row>
    <row r="164" spans="11:11">
      <c r="K164" s="91"/>
    </row>
    <row r="165" spans="11:11">
      <c r="K165" s="91"/>
    </row>
    <row r="166" spans="11:11">
      <c r="K166" s="91"/>
    </row>
    <row r="167" spans="11:11">
      <c r="K167" s="91"/>
    </row>
    <row r="168" spans="11:11">
      <c r="K168" s="91"/>
    </row>
    <row r="169" spans="11:11">
      <c r="K169" s="91"/>
    </row>
    <row r="170" spans="11:11">
      <c r="K170" s="91"/>
    </row>
    <row r="171" spans="11:11">
      <c r="K171" s="91"/>
    </row>
    <row r="172" spans="11:11">
      <c r="K172" s="91"/>
    </row>
    <row r="173" spans="11:11">
      <c r="K173" s="91"/>
    </row>
  </sheetData>
  <phoneticPr fontId="37" type="noConversion"/>
  <pageMargins left="0.74803149606299213" right="0.74803149606299213" top="0.98425196850393704" bottom="0.98425196850393704" header="0.51181102362204722" footer="0.51181102362204722"/>
  <pageSetup paperSize="9" scale="60" fitToHeight="2" orientation="portrait" r:id="rId1"/>
  <headerFooter alignWithMargins="0"/>
  <rowBreaks count="1" manualBreakCount="1">
    <brk id="74" min="1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A36" sqref="A36:E57"/>
    </sheetView>
  </sheetViews>
  <sheetFormatPr defaultColWidth="9.33203125" defaultRowHeight="10.199999999999999"/>
  <cols>
    <col min="1" max="1" width="43.5546875" style="44" customWidth="1"/>
    <col min="2" max="2" width="18" style="44" customWidth="1"/>
    <col min="3" max="4" width="17.33203125" style="44" customWidth="1"/>
    <col min="5" max="5" width="12.6640625" style="44" customWidth="1"/>
    <col min="6" max="6" width="14.33203125" style="44" customWidth="1"/>
    <col min="7" max="7" width="13.33203125" style="44" customWidth="1"/>
    <col min="8" max="8" width="29.6640625" style="44" customWidth="1"/>
    <col min="9" max="257" width="9.33203125" style="44"/>
    <col min="258" max="258" width="43.5546875" style="44" customWidth="1"/>
    <col min="259" max="259" width="18" style="44" customWidth="1"/>
    <col min="260" max="260" width="17.33203125" style="44" customWidth="1"/>
    <col min="261" max="261" width="12.6640625" style="44" customWidth="1"/>
    <col min="262" max="262" width="14.33203125" style="44" customWidth="1"/>
    <col min="263" max="263" width="13.33203125" style="44" customWidth="1"/>
    <col min="264" max="513" width="9.33203125" style="44"/>
    <col min="514" max="514" width="43.5546875" style="44" customWidth="1"/>
    <col min="515" max="515" width="18" style="44" customWidth="1"/>
    <col min="516" max="516" width="17.33203125" style="44" customWidth="1"/>
    <col min="517" max="517" width="12.6640625" style="44" customWidth="1"/>
    <col min="518" max="518" width="14.33203125" style="44" customWidth="1"/>
    <col min="519" max="519" width="13.33203125" style="44" customWidth="1"/>
    <col min="520" max="769" width="9.33203125" style="44"/>
    <col min="770" max="770" width="43.5546875" style="44" customWidth="1"/>
    <col min="771" max="771" width="18" style="44" customWidth="1"/>
    <col min="772" max="772" width="17.33203125" style="44" customWidth="1"/>
    <col min="773" max="773" width="12.6640625" style="44" customWidth="1"/>
    <col min="774" max="774" width="14.33203125" style="44" customWidth="1"/>
    <col min="775" max="775" width="13.33203125" style="44" customWidth="1"/>
    <col min="776" max="1025" width="9.33203125" style="44"/>
    <col min="1026" max="1026" width="43.5546875" style="44" customWidth="1"/>
    <col min="1027" max="1027" width="18" style="44" customWidth="1"/>
    <col min="1028" max="1028" width="17.33203125" style="44" customWidth="1"/>
    <col min="1029" max="1029" width="12.6640625" style="44" customWidth="1"/>
    <col min="1030" max="1030" width="14.33203125" style="44" customWidth="1"/>
    <col min="1031" max="1031" width="13.33203125" style="44" customWidth="1"/>
    <col min="1032" max="1281" width="9.33203125" style="44"/>
    <col min="1282" max="1282" width="43.5546875" style="44" customWidth="1"/>
    <col min="1283" max="1283" width="18" style="44" customWidth="1"/>
    <col min="1284" max="1284" width="17.33203125" style="44" customWidth="1"/>
    <col min="1285" max="1285" width="12.6640625" style="44" customWidth="1"/>
    <col min="1286" max="1286" width="14.33203125" style="44" customWidth="1"/>
    <col min="1287" max="1287" width="13.33203125" style="44" customWidth="1"/>
    <col min="1288" max="1537" width="9.33203125" style="44"/>
    <col min="1538" max="1538" width="43.5546875" style="44" customWidth="1"/>
    <col min="1539" max="1539" width="18" style="44" customWidth="1"/>
    <col min="1540" max="1540" width="17.33203125" style="44" customWidth="1"/>
    <col min="1541" max="1541" width="12.6640625" style="44" customWidth="1"/>
    <col min="1542" max="1542" width="14.33203125" style="44" customWidth="1"/>
    <col min="1543" max="1543" width="13.33203125" style="44" customWidth="1"/>
    <col min="1544" max="1793" width="9.33203125" style="44"/>
    <col min="1794" max="1794" width="43.5546875" style="44" customWidth="1"/>
    <col min="1795" max="1795" width="18" style="44" customWidth="1"/>
    <col min="1796" max="1796" width="17.33203125" style="44" customWidth="1"/>
    <col min="1797" max="1797" width="12.6640625" style="44" customWidth="1"/>
    <col min="1798" max="1798" width="14.33203125" style="44" customWidth="1"/>
    <col min="1799" max="1799" width="13.33203125" style="44" customWidth="1"/>
    <col min="1800" max="2049" width="9.33203125" style="44"/>
    <col min="2050" max="2050" width="43.5546875" style="44" customWidth="1"/>
    <col min="2051" max="2051" width="18" style="44" customWidth="1"/>
    <col min="2052" max="2052" width="17.33203125" style="44" customWidth="1"/>
    <col min="2053" max="2053" width="12.6640625" style="44" customWidth="1"/>
    <col min="2054" max="2054" width="14.33203125" style="44" customWidth="1"/>
    <col min="2055" max="2055" width="13.33203125" style="44" customWidth="1"/>
    <col min="2056" max="2305" width="9.33203125" style="44"/>
    <col min="2306" max="2306" width="43.5546875" style="44" customWidth="1"/>
    <col min="2307" max="2307" width="18" style="44" customWidth="1"/>
    <col min="2308" max="2308" width="17.33203125" style="44" customWidth="1"/>
    <col min="2309" max="2309" width="12.6640625" style="44" customWidth="1"/>
    <col min="2310" max="2310" width="14.33203125" style="44" customWidth="1"/>
    <col min="2311" max="2311" width="13.33203125" style="44" customWidth="1"/>
    <col min="2312" max="2561" width="9.33203125" style="44"/>
    <col min="2562" max="2562" width="43.5546875" style="44" customWidth="1"/>
    <col min="2563" max="2563" width="18" style="44" customWidth="1"/>
    <col min="2564" max="2564" width="17.33203125" style="44" customWidth="1"/>
    <col min="2565" max="2565" width="12.6640625" style="44" customWidth="1"/>
    <col min="2566" max="2566" width="14.33203125" style="44" customWidth="1"/>
    <col min="2567" max="2567" width="13.33203125" style="44" customWidth="1"/>
    <col min="2568" max="2817" width="9.33203125" style="44"/>
    <col min="2818" max="2818" width="43.5546875" style="44" customWidth="1"/>
    <col min="2819" max="2819" width="18" style="44" customWidth="1"/>
    <col min="2820" max="2820" width="17.33203125" style="44" customWidth="1"/>
    <col min="2821" max="2821" width="12.6640625" style="44" customWidth="1"/>
    <col min="2822" max="2822" width="14.33203125" style="44" customWidth="1"/>
    <col min="2823" max="2823" width="13.33203125" style="44" customWidth="1"/>
    <col min="2824" max="3073" width="9.33203125" style="44"/>
    <col min="3074" max="3074" width="43.5546875" style="44" customWidth="1"/>
    <col min="3075" max="3075" width="18" style="44" customWidth="1"/>
    <col min="3076" max="3076" width="17.33203125" style="44" customWidth="1"/>
    <col min="3077" max="3077" width="12.6640625" style="44" customWidth="1"/>
    <col min="3078" max="3078" width="14.33203125" style="44" customWidth="1"/>
    <col min="3079" max="3079" width="13.33203125" style="44" customWidth="1"/>
    <col min="3080" max="3329" width="9.33203125" style="44"/>
    <col min="3330" max="3330" width="43.5546875" style="44" customWidth="1"/>
    <col min="3331" max="3331" width="18" style="44" customWidth="1"/>
    <col min="3332" max="3332" width="17.33203125" style="44" customWidth="1"/>
    <col min="3333" max="3333" width="12.6640625" style="44" customWidth="1"/>
    <col min="3334" max="3334" width="14.33203125" style="44" customWidth="1"/>
    <col min="3335" max="3335" width="13.33203125" style="44" customWidth="1"/>
    <col min="3336" max="3585" width="9.33203125" style="44"/>
    <col min="3586" max="3586" width="43.5546875" style="44" customWidth="1"/>
    <col min="3587" max="3587" width="18" style="44" customWidth="1"/>
    <col min="3588" max="3588" width="17.33203125" style="44" customWidth="1"/>
    <col min="3589" max="3589" width="12.6640625" style="44" customWidth="1"/>
    <col min="3590" max="3590" width="14.33203125" style="44" customWidth="1"/>
    <col min="3591" max="3591" width="13.33203125" style="44" customWidth="1"/>
    <col min="3592" max="3841" width="9.33203125" style="44"/>
    <col min="3842" max="3842" width="43.5546875" style="44" customWidth="1"/>
    <col min="3843" max="3843" width="18" style="44" customWidth="1"/>
    <col min="3844" max="3844" width="17.33203125" style="44" customWidth="1"/>
    <col min="3845" max="3845" width="12.6640625" style="44" customWidth="1"/>
    <col min="3846" max="3846" width="14.33203125" style="44" customWidth="1"/>
    <col min="3847" max="3847" width="13.33203125" style="44" customWidth="1"/>
    <col min="3848" max="4097" width="9.33203125" style="44"/>
    <col min="4098" max="4098" width="43.5546875" style="44" customWidth="1"/>
    <col min="4099" max="4099" width="18" style="44" customWidth="1"/>
    <col min="4100" max="4100" width="17.33203125" style="44" customWidth="1"/>
    <col min="4101" max="4101" width="12.6640625" style="44" customWidth="1"/>
    <col min="4102" max="4102" width="14.33203125" style="44" customWidth="1"/>
    <col min="4103" max="4103" width="13.33203125" style="44" customWidth="1"/>
    <col min="4104" max="4353" width="9.33203125" style="44"/>
    <col min="4354" max="4354" width="43.5546875" style="44" customWidth="1"/>
    <col min="4355" max="4355" width="18" style="44" customWidth="1"/>
    <col min="4356" max="4356" width="17.33203125" style="44" customWidth="1"/>
    <col min="4357" max="4357" width="12.6640625" style="44" customWidth="1"/>
    <col min="4358" max="4358" width="14.33203125" style="44" customWidth="1"/>
    <col min="4359" max="4359" width="13.33203125" style="44" customWidth="1"/>
    <col min="4360" max="4609" width="9.33203125" style="44"/>
    <col min="4610" max="4610" width="43.5546875" style="44" customWidth="1"/>
    <col min="4611" max="4611" width="18" style="44" customWidth="1"/>
    <col min="4612" max="4612" width="17.33203125" style="44" customWidth="1"/>
    <col min="4613" max="4613" width="12.6640625" style="44" customWidth="1"/>
    <col min="4614" max="4614" width="14.33203125" style="44" customWidth="1"/>
    <col min="4615" max="4615" width="13.33203125" style="44" customWidth="1"/>
    <col min="4616" max="4865" width="9.33203125" style="44"/>
    <col min="4866" max="4866" width="43.5546875" style="44" customWidth="1"/>
    <col min="4867" max="4867" width="18" style="44" customWidth="1"/>
    <col min="4868" max="4868" width="17.33203125" style="44" customWidth="1"/>
    <col min="4869" max="4869" width="12.6640625" style="44" customWidth="1"/>
    <col min="4870" max="4870" width="14.33203125" style="44" customWidth="1"/>
    <col min="4871" max="4871" width="13.33203125" style="44" customWidth="1"/>
    <col min="4872" max="5121" width="9.33203125" style="44"/>
    <col min="5122" max="5122" width="43.5546875" style="44" customWidth="1"/>
    <col min="5123" max="5123" width="18" style="44" customWidth="1"/>
    <col min="5124" max="5124" width="17.33203125" style="44" customWidth="1"/>
    <col min="5125" max="5125" width="12.6640625" style="44" customWidth="1"/>
    <col min="5126" max="5126" width="14.33203125" style="44" customWidth="1"/>
    <col min="5127" max="5127" width="13.33203125" style="44" customWidth="1"/>
    <col min="5128" max="5377" width="9.33203125" style="44"/>
    <col min="5378" max="5378" width="43.5546875" style="44" customWidth="1"/>
    <col min="5379" max="5379" width="18" style="44" customWidth="1"/>
    <col min="5380" max="5380" width="17.33203125" style="44" customWidth="1"/>
    <col min="5381" max="5381" width="12.6640625" style="44" customWidth="1"/>
    <col min="5382" max="5382" width="14.33203125" style="44" customWidth="1"/>
    <col min="5383" max="5383" width="13.33203125" style="44" customWidth="1"/>
    <col min="5384" max="5633" width="9.33203125" style="44"/>
    <col min="5634" max="5634" width="43.5546875" style="44" customWidth="1"/>
    <col min="5635" max="5635" width="18" style="44" customWidth="1"/>
    <col min="5636" max="5636" width="17.33203125" style="44" customWidth="1"/>
    <col min="5637" max="5637" width="12.6640625" style="44" customWidth="1"/>
    <col min="5638" max="5638" width="14.33203125" style="44" customWidth="1"/>
    <col min="5639" max="5639" width="13.33203125" style="44" customWidth="1"/>
    <col min="5640" max="5889" width="9.33203125" style="44"/>
    <col min="5890" max="5890" width="43.5546875" style="44" customWidth="1"/>
    <col min="5891" max="5891" width="18" style="44" customWidth="1"/>
    <col min="5892" max="5892" width="17.33203125" style="44" customWidth="1"/>
    <col min="5893" max="5893" width="12.6640625" style="44" customWidth="1"/>
    <col min="5894" max="5894" width="14.33203125" style="44" customWidth="1"/>
    <col min="5895" max="5895" width="13.33203125" style="44" customWidth="1"/>
    <col min="5896" max="6145" width="9.33203125" style="44"/>
    <col min="6146" max="6146" width="43.5546875" style="44" customWidth="1"/>
    <col min="6147" max="6147" width="18" style="44" customWidth="1"/>
    <col min="6148" max="6148" width="17.33203125" style="44" customWidth="1"/>
    <col min="6149" max="6149" width="12.6640625" style="44" customWidth="1"/>
    <col min="6150" max="6150" width="14.33203125" style="44" customWidth="1"/>
    <col min="6151" max="6151" width="13.33203125" style="44" customWidth="1"/>
    <col min="6152" max="6401" width="9.33203125" style="44"/>
    <col min="6402" max="6402" width="43.5546875" style="44" customWidth="1"/>
    <col min="6403" max="6403" width="18" style="44" customWidth="1"/>
    <col min="6404" max="6404" width="17.33203125" style="44" customWidth="1"/>
    <col min="6405" max="6405" width="12.6640625" style="44" customWidth="1"/>
    <col min="6406" max="6406" width="14.33203125" style="44" customWidth="1"/>
    <col min="6407" max="6407" width="13.33203125" style="44" customWidth="1"/>
    <col min="6408" max="6657" width="9.33203125" style="44"/>
    <col min="6658" max="6658" width="43.5546875" style="44" customWidth="1"/>
    <col min="6659" max="6659" width="18" style="44" customWidth="1"/>
    <col min="6660" max="6660" width="17.33203125" style="44" customWidth="1"/>
    <col min="6661" max="6661" width="12.6640625" style="44" customWidth="1"/>
    <col min="6662" max="6662" width="14.33203125" style="44" customWidth="1"/>
    <col min="6663" max="6663" width="13.33203125" style="44" customWidth="1"/>
    <col min="6664" max="6913" width="9.33203125" style="44"/>
    <col min="6914" max="6914" width="43.5546875" style="44" customWidth="1"/>
    <col min="6915" max="6915" width="18" style="44" customWidth="1"/>
    <col min="6916" max="6916" width="17.33203125" style="44" customWidth="1"/>
    <col min="6917" max="6917" width="12.6640625" style="44" customWidth="1"/>
    <col min="6918" max="6918" width="14.33203125" style="44" customWidth="1"/>
    <col min="6919" max="6919" width="13.33203125" style="44" customWidth="1"/>
    <col min="6920" max="7169" width="9.33203125" style="44"/>
    <col min="7170" max="7170" width="43.5546875" style="44" customWidth="1"/>
    <col min="7171" max="7171" width="18" style="44" customWidth="1"/>
    <col min="7172" max="7172" width="17.33203125" style="44" customWidth="1"/>
    <col min="7173" max="7173" width="12.6640625" style="44" customWidth="1"/>
    <col min="7174" max="7174" width="14.33203125" style="44" customWidth="1"/>
    <col min="7175" max="7175" width="13.33203125" style="44" customWidth="1"/>
    <col min="7176" max="7425" width="9.33203125" style="44"/>
    <col min="7426" max="7426" width="43.5546875" style="44" customWidth="1"/>
    <col min="7427" max="7427" width="18" style="44" customWidth="1"/>
    <col min="7428" max="7428" width="17.33203125" style="44" customWidth="1"/>
    <col min="7429" max="7429" width="12.6640625" style="44" customWidth="1"/>
    <col min="7430" max="7430" width="14.33203125" style="44" customWidth="1"/>
    <col min="7431" max="7431" width="13.33203125" style="44" customWidth="1"/>
    <col min="7432" max="7681" width="9.33203125" style="44"/>
    <col min="7682" max="7682" width="43.5546875" style="44" customWidth="1"/>
    <col min="7683" max="7683" width="18" style="44" customWidth="1"/>
    <col min="7684" max="7684" width="17.33203125" style="44" customWidth="1"/>
    <col min="7685" max="7685" width="12.6640625" style="44" customWidth="1"/>
    <col min="7686" max="7686" width="14.33203125" style="44" customWidth="1"/>
    <col min="7687" max="7687" width="13.33203125" style="44" customWidth="1"/>
    <col min="7688" max="7937" width="9.33203125" style="44"/>
    <col min="7938" max="7938" width="43.5546875" style="44" customWidth="1"/>
    <col min="7939" max="7939" width="18" style="44" customWidth="1"/>
    <col min="7940" max="7940" width="17.33203125" style="44" customWidth="1"/>
    <col min="7941" max="7941" width="12.6640625" style="44" customWidth="1"/>
    <col min="7942" max="7942" width="14.33203125" style="44" customWidth="1"/>
    <col min="7943" max="7943" width="13.33203125" style="44" customWidth="1"/>
    <col min="7944" max="8193" width="9.33203125" style="44"/>
    <col min="8194" max="8194" width="43.5546875" style="44" customWidth="1"/>
    <col min="8195" max="8195" width="18" style="44" customWidth="1"/>
    <col min="8196" max="8196" width="17.33203125" style="44" customWidth="1"/>
    <col min="8197" max="8197" width="12.6640625" style="44" customWidth="1"/>
    <col min="8198" max="8198" width="14.33203125" style="44" customWidth="1"/>
    <col min="8199" max="8199" width="13.33203125" style="44" customWidth="1"/>
    <col min="8200" max="8449" width="9.33203125" style="44"/>
    <col min="8450" max="8450" width="43.5546875" style="44" customWidth="1"/>
    <col min="8451" max="8451" width="18" style="44" customWidth="1"/>
    <col min="8452" max="8452" width="17.33203125" style="44" customWidth="1"/>
    <col min="8453" max="8453" width="12.6640625" style="44" customWidth="1"/>
    <col min="8454" max="8454" width="14.33203125" style="44" customWidth="1"/>
    <col min="8455" max="8455" width="13.33203125" style="44" customWidth="1"/>
    <col min="8456" max="8705" width="9.33203125" style="44"/>
    <col min="8706" max="8706" width="43.5546875" style="44" customWidth="1"/>
    <col min="8707" max="8707" width="18" style="44" customWidth="1"/>
    <col min="8708" max="8708" width="17.33203125" style="44" customWidth="1"/>
    <col min="8709" max="8709" width="12.6640625" style="44" customWidth="1"/>
    <col min="8710" max="8710" width="14.33203125" style="44" customWidth="1"/>
    <col min="8711" max="8711" width="13.33203125" style="44" customWidth="1"/>
    <col min="8712" max="8961" width="9.33203125" style="44"/>
    <col min="8962" max="8962" width="43.5546875" style="44" customWidth="1"/>
    <col min="8963" max="8963" width="18" style="44" customWidth="1"/>
    <col min="8964" max="8964" width="17.33203125" style="44" customWidth="1"/>
    <col min="8965" max="8965" width="12.6640625" style="44" customWidth="1"/>
    <col min="8966" max="8966" width="14.33203125" style="44" customWidth="1"/>
    <col min="8967" max="8967" width="13.33203125" style="44" customWidth="1"/>
    <col min="8968" max="9217" width="9.33203125" style="44"/>
    <col min="9218" max="9218" width="43.5546875" style="44" customWidth="1"/>
    <col min="9219" max="9219" width="18" style="44" customWidth="1"/>
    <col min="9220" max="9220" width="17.33203125" style="44" customWidth="1"/>
    <col min="9221" max="9221" width="12.6640625" style="44" customWidth="1"/>
    <col min="9222" max="9222" width="14.33203125" style="44" customWidth="1"/>
    <col min="9223" max="9223" width="13.33203125" style="44" customWidth="1"/>
    <col min="9224" max="9473" width="9.33203125" style="44"/>
    <col min="9474" max="9474" width="43.5546875" style="44" customWidth="1"/>
    <col min="9475" max="9475" width="18" style="44" customWidth="1"/>
    <col min="9476" max="9476" width="17.33203125" style="44" customWidth="1"/>
    <col min="9477" max="9477" width="12.6640625" style="44" customWidth="1"/>
    <col min="9478" max="9478" width="14.33203125" style="44" customWidth="1"/>
    <col min="9479" max="9479" width="13.33203125" style="44" customWidth="1"/>
    <col min="9480" max="9729" width="9.33203125" style="44"/>
    <col min="9730" max="9730" width="43.5546875" style="44" customWidth="1"/>
    <col min="9731" max="9731" width="18" style="44" customWidth="1"/>
    <col min="9732" max="9732" width="17.33203125" style="44" customWidth="1"/>
    <col min="9733" max="9733" width="12.6640625" style="44" customWidth="1"/>
    <col min="9734" max="9734" width="14.33203125" style="44" customWidth="1"/>
    <col min="9735" max="9735" width="13.33203125" style="44" customWidth="1"/>
    <col min="9736" max="9985" width="9.33203125" style="44"/>
    <col min="9986" max="9986" width="43.5546875" style="44" customWidth="1"/>
    <col min="9987" max="9987" width="18" style="44" customWidth="1"/>
    <col min="9988" max="9988" width="17.33203125" style="44" customWidth="1"/>
    <col min="9989" max="9989" width="12.6640625" style="44" customWidth="1"/>
    <col min="9990" max="9990" width="14.33203125" style="44" customWidth="1"/>
    <col min="9991" max="9991" width="13.33203125" style="44" customWidth="1"/>
    <col min="9992" max="10241" width="9.33203125" style="44"/>
    <col min="10242" max="10242" width="43.5546875" style="44" customWidth="1"/>
    <col min="10243" max="10243" width="18" style="44" customWidth="1"/>
    <col min="10244" max="10244" width="17.33203125" style="44" customWidth="1"/>
    <col min="10245" max="10245" width="12.6640625" style="44" customWidth="1"/>
    <col min="10246" max="10246" width="14.33203125" style="44" customWidth="1"/>
    <col min="10247" max="10247" width="13.33203125" style="44" customWidth="1"/>
    <col min="10248" max="10497" width="9.33203125" style="44"/>
    <col min="10498" max="10498" width="43.5546875" style="44" customWidth="1"/>
    <col min="10499" max="10499" width="18" style="44" customWidth="1"/>
    <col min="10500" max="10500" width="17.33203125" style="44" customWidth="1"/>
    <col min="10501" max="10501" width="12.6640625" style="44" customWidth="1"/>
    <col min="10502" max="10502" width="14.33203125" style="44" customWidth="1"/>
    <col min="10503" max="10503" width="13.33203125" style="44" customWidth="1"/>
    <col min="10504" max="10753" width="9.33203125" style="44"/>
    <col min="10754" max="10754" width="43.5546875" style="44" customWidth="1"/>
    <col min="10755" max="10755" width="18" style="44" customWidth="1"/>
    <col min="10756" max="10756" width="17.33203125" style="44" customWidth="1"/>
    <col min="10757" max="10757" width="12.6640625" style="44" customWidth="1"/>
    <col min="10758" max="10758" width="14.33203125" style="44" customWidth="1"/>
    <col min="10759" max="10759" width="13.33203125" style="44" customWidth="1"/>
    <col min="10760" max="11009" width="9.33203125" style="44"/>
    <col min="11010" max="11010" width="43.5546875" style="44" customWidth="1"/>
    <col min="11011" max="11011" width="18" style="44" customWidth="1"/>
    <col min="11012" max="11012" width="17.33203125" style="44" customWidth="1"/>
    <col min="11013" max="11013" width="12.6640625" style="44" customWidth="1"/>
    <col min="11014" max="11014" width="14.33203125" style="44" customWidth="1"/>
    <col min="11015" max="11015" width="13.33203125" style="44" customWidth="1"/>
    <col min="11016" max="11265" width="9.33203125" style="44"/>
    <col min="11266" max="11266" width="43.5546875" style="44" customWidth="1"/>
    <col min="11267" max="11267" width="18" style="44" customWidth="1"/>
    <col min="11268" max="11268" width="17.33203125" style="44" customWidth="1"/>
    <col min="11269" max="11269" width="12.6640625" style="44" customWidth="1"/>
    <col min="11270" max="11270" width="14.33203125" style="44" customWidth="1"/>
    <col min="11271" max="11271" width="13.33203125" style="44" customWidth="1"/>
    <col min="11272" max="11521" width="9.33203125" style="44"/>
    <col min="11522" max="11522" width="43.5546875" style="44" customWidth="1"/>
    <col min="11523" max="11523" width="18" style="44" customWidth="1"/>
    <col min="11524" max="11524" width="17.33203125" style="44" customWidth="1"/>
    <col min="11525" max="11525" width="12.6640625" style="44" customWidth="1"/>
    <col min="11526" max="11526" width="14.33203125" style="44" customWidth="1"/>
    <col min="11527" max="11527" width="13.33203125" style="44" customWidth="1"/>
    <col min="11528" max="11777" width="9.33203125" style="44"/>
    <col min="11778" max="11778" width="43.5546875" style="44" customWidth="1"/>
    <col min="11779" max="11779" width="18" style="44" customWidth="1"/>
    <col min="11780" max="11780" width="17.33203125" style="44" customWidth="1"/>
    <col min="11781" max="11781" width="12.6640625" style="44" customWidth="1"/>
    <col min="11782" max="11782" width="14.33203125" style="44" customWidth="1"/>
    <col min="11783" max="11783" width="13.33203125" style="44" customWidth="1"/>
    <col min="11784" max="12033" width="9.33203125" style="44"/>
    <col min="12034" max="12034" width="43.5546875" style="44" customWidth="1"/>
    <col min="12035" max="12035" width="18" style="44" customWidth="1"/>
    <col min="12036" max="12036" width="17.33203125" style="44" customWidth="1"/>
    <col min="12037" max="12037" width="12.6640625" style="44" customWidth="1"/>
    <col min="12038" max="12038" width="14.33203125" style="44" customWidth="1"/>
    <col min="12039" max="12039" width="13.33203125" style="44" customWidth="1"/>
    <col min="12040" max="12289" width="9.33203125" style="44"/>
    <col min="12290" max="12290" width="43.5546875" style="44" customWidth="1"/>
    <col min="12291" max="12291" width="18" style="44" customWidth="1"/>
    <col min="12292" max="12292" width="17.33203125" style="44" customWidth="1"/>
    <col min="12293" max="12293" width="12.6640625" style="44" customWidth="1"/>
    <col min="12294" max="12294" width="14.33203125" style="44" customWidth="1"/>
    <col min="12295" max="12295" width="13.33203125" style="44" customWidth="1"/>
    <col min="12296" max="12545" width="9.33203125" style="44"/>
    <col min="12546" max="12546" width="43.5546875" style="44" customWidth="1"/>
    <col min="12547" max="12547" width="18" style="44" customWidth="1"/>
    <col min="12548" max="12548" width="17.33203125" style="44" customWidth="1"/>
    <col min="12549" max="12549" width="12.6640625" style="44" customWidth="1"/>
    <col min="12550" max="12550" width="14.33203125" style="44" customWidth="1"/>
    <col min="12551" max="12551" width="13.33203125" style="44" customWidth="1"/>
    <col min="12552" max="12801" width="9.33203125" style="44"/>
    <col min="12802" max="12802" width="43.5546875" style="44" customWidth="1"/>
    <col min="12803" max="12803" width="18" style="44" customWidth="1"/>
    <col min="12804" max="12804" width="17.33203125" style="44" customWidth="1"/>
    <col min="12805" max="12805" width="12.6640625" style="44" customWidth="1"/>
    <col min="12806" max="12806" width="14.33203125" style="44" customWidth="1"/>
    <col min="12807" max="12807" width="13.33203125" style="44" customWidth="1"/>
    <col min="12808" max="13057" width="9.33203125" style="44"/>
    <col min="13058" max="13058" width="43.5546875" style="44" customWidth="1"/>
    <col min="13059" max="13059" width="18" style="44" customWidth="1"/>
    <col min="13060" max="13060" width="17.33203125" style="44" customWidth="1"/>
    <col min="13061" max="13061" width="12.6640625" style="44" customWidth="1"/>
    <col min="13062" max="13062" width="14.33203125" style="44" customWidth="1"/>
    <col min="13063" max="13063" width="13.33203125" style="44" customWidth="1"/>
    <col min="13064" max="13313" width="9.33203125" style="44"/>
    <col min="13314" max="13314" width="43.5546875" style="44" customWidth="1"/>
    <col min="13315" max="13315" width="18" style="44" customWidth="1"/>
    <col min="13316" max="13316" width="17.33203125" style="44" customWidth="1"/>
    <col min="13317" max="13317" width="12.6640625" style="44" customWidth="1"/>
    <col min="13318" max="13318" width="14.33203125" style="44" customWidth="1"/>
    <col min="13319" max="13319" width="13.33203125" style="44" customWidth="1"/>
    <col min="13320" max="13569" width="9.33203125" style="44"/>
    <col min="13570" max="13570" width="43.5546875" style="44" customWidth="1"/>
    <col min="13571" max="13571" width="18" style="44" customWidth="1"/>
    <col min="13572" max="13572" width="17.33203125" style="44" customWidth="1"/>
    <col min="13573" max="13573" width="12.6640625" style="44" customWidth="1"/>
    <col min="13574" max="13574" width="14.33203125" style="44" customWidth="1"/>
    <col min="13575" max="13575" width="13.33203125" style="44" customWidth="1"/>
    <col min="13576" max="13825" width="9.33203125" style="44"/>
    <col min="13826" max="13826" width="43.5546875" style="44" customWidth="1"/>
    <col min="13827" max="13827" width="18" style="44" customWidth="1"/>
    <col min="13828" max="13828" width="17.33203125" style="44" customWidth="1"/>
    <col min="13829" max="13829" width="12.6640625" style="44" customWidth="1"/>
    <col min="13830" max="13830" width="14.33203125" style="44" customWidth="1"/>
    <col min="13831" max="13831" width="13.33203125" style="44" customWidth="1"/>
    <col min="13832" max="14081" width="9.33203125" style="44"/>
    <col min="14082" max="14082" width="43.5546875" style="44" customWidth="1"/>
    <col min="14083" max="14083" width="18" style="44" customWidth="1"/>
    <col min="14084" max="14084" width="17.33203125" style="44" customWidth="1"/>
    <col min="14085" max="14085" width="12.6640625" style="44" customWidth="1"/>
    <col min="14086" max="14086" width="14.33203125" style="44" customWidth="1"/>
    <col min="14087" max="14087" width="13.33203125" style="44" customWidth="1"/>
    <col min="14088" max="14337" width="9.33203125" style="44"/>
    <col min="14338" max="14338" width="43.5546875" style="44" customWidth="1"/>
    <col min="14339" max="14339" width="18" style="44" customWidth="1"/>
    <col min="14340" max="14340" width="17.33203125" style="44" customWidth="1"/>
    <col min="14341" max="14341" width="12.6640625" style="44" customWidth="1"/>
    <col min="14342" max="14342" width="14.33203125" style="44" customWidth="1"/>
    <col min="14343" max="14343" width="13.33203125" style="44" customWidth="1"/>
    <col min="14344" max="14593" width="9.33203125" style="44"/>
    <col min="14594" max="14594" width="43.5546875" style="44" customWidth="1"/>
    <col min="14595" max="14595" width="18" style="44" customWidth="1"/>
    <col min="14596" max="14596" width="17.33203125" style="44" customWidth="1"/>
    <col min="14597" max="14597" width="12.6640625" style="44" customWidth="1"/>
    <col min="14598" max="14598" width="14.33203125" style="44" customWidth="1"/>
    <col min="14599" max="14599" width="13.33203125" style="44" customWidth="1"/>
    <col min="14600" max="14849" width="9.33203125" style="44"/>
    <col min="14850" max="14850" width="43.5546875" style="44" customWidth="1"/>
    <col min="14851" max="14851" width="18" style="44" customWidth="1"/>
    <col min="14852" max="14852" width="17.33203125" style="44" customWidth="1"/>
    <col min="14853" max="14853" width="12.6640625" style="44" customWidth="1"/>
    <col min="14854" max="14854" width="14.33203125" style="44" customWidth="1"/>
    <col min="14855" max="14855" width="13.33203125" style="44" customWidth="1"/>
    <col min="14856" max="15105" width="9.33203125" style="44"/>
    <col min="15106" max="15106" width="43.5546875" style="44" customWidth="1"/>
    <col min="15107" max="15107" width="18" style="44" customWidth="1"/>
    <col min="15108" max="15108" width="17.33203125" style="44" customWidth="1"/>
    <col min="15109" max="15109" width="12.6640625" style="44" customWidth="1"/>
    <col min="15110" max="15110" width="14.33203125" style="44" customWidth="1"/>
    <col min="15111" max="15111" width="13.33203125" style="44" customWidth="1"/>
    <col min="15112" max="15361" width="9.33203125" style="44"/>
    <col min="15362" max="15362" width="43.5546875" style="44" customWidth="1"/>
    <col min="15363" max="15363" width="18" style="44" customWidth="1"/>
    <col min="15364" max="15364" width="17.33203125" style="44" customWidth="1"/>
    <col min="15365" max="15365" width="12.6640625" style="44" customWidth="1"/>
    <col min="15366" max="15366" width="14.33203125" style="44" customWidth="1"/>
    <col min="15367" max="15367" width="13.33203125" style="44" customWidth="1"/>
    <col min="15368" max="15617" width="9.33203125" style="44"/>
    <col min="15618" max="15618" width="43.5546875" style="44" customWidth="1"/>
    <col min="15619" max="15619" width="18" style="44" customWidth="1"/>
    <col min="15620" max="15620" width="17.33203125" style="44" customWidth="1"/>
    <col min="15621" max="15621" width="12.6640625" style="44" customWidth="1"/>
    <col min="15622" max="15622" width="14.33203125" style="44" customWidth="1"/>
    <col min="15623" max="15623" width="13.33203125" style="44" customWidth="1"/>
    <col min="15624" max="15873" width="9.33203125" style="44"/>
    <col min="15874" max="15874" width="43.5546875" style="44" customWidth="1"/>
    <col min="15875" max="15875" width="18" style="44" customWidth="1"/>
    <col min="15876" max="15876" width="17.33203125" style="44" customWidth="1"/>
    <col min="15877" max="15877" width="12.6640625" style="44" customWidth="1"/>
    <col min="15878" max="15878" width="14.33203125" style="44" customWidth="1"/>
    <col min="15879" max="15879" width="13.33203125" style="44" customWidth="1"/>
    <col min="15880" max="16129" width="9.33203125" style="44"/>
    <col min="16130" max="16130" width="43.5546875" style="44" customWidth="1"/>
    <col min="16131" max="16131" width="18" style="44" customWidth="1"/>
    <col min="16132" max="16132" width="17.33203125" style="44" customWidth="1"/>
    <col min="16133" max="16133" width="12.6640625" style="44" customWidth="1"/>
    <col min="16134" max="16134" width="14.33203125" style="44" customWidth="1"/>
    <col min="16135" max="16135" width="13.33203125" style="44" customWidth="1"/>
    <col min="16136" max="16384" width="9.33203125" style="44"/>
  </cols>
  <sheetData>
    <row r="1" spans="1:11">
      <c r="A1" s="509"/>
    </row>
    <row r="2" spans="1:11" ht="13.2">
      <c r="A2" s="381" t="s">
        <v>835</v>
      </c>
    </row>
    <row r="4" spans="1:11">
      <c r="A4" s="51" t="s">
        <v>1017</v>
      </c>
    </row>
    <row r="5" spans="1:11">
      <c r="A5" s="51"/>
    </row>
    <row r="6" spans="1:11" customFormat="1" ht="31.95" customHeight="1">
      <c r="A6" s="99" t="s">
        <v>294</v>
      </c>
      <c r="B6" s="400" t="s">
        <v>667</v>
      </c>
      <c r="C6" s="400" t="s">
        <v>668</v>
      </c>
      <c r="D6" s="400" t="s">
        <v>700</v>
      </c>
      <c r="E6" s="400" t="s">
        <v>25</v>
      </c>
    </row>
    <row r="7" spans="1:11" s="31" customFormat="1" ht="13.2">
      <c r="A7" s="97" t="s">
        <v>1007</v>
      </c>
      <c r="B7" s="123">
        <f>B46</f>
        <v>3257476</v>
      </c>
      <c r="C7" s="123">
        <f t="shared" ref="C7:D7" si="0">C46</f>
        <v>235600</v>
      </c>
      <c r="D7" s="123">
        <f t="shared" si="0"/>
        <v>23730</v>
      </c>
      <c r="E7" s="123">
        <f>B7+C7+D7</f>
        <v>3516806</v>
      </c>
    </row>
    <row r="8" spans="1:11" s="510" customFormat="1" ht="13.2" hidden="1">
      <c r="A8" s="97" t="s">
        <v>669</v>
      </c>
      <c r="B8" s="123">
        <v>0</v>
      </c>
      <c r="C8" s="123">
        <v>0</v>
      </c>
      <c r="D8" s="123">
        <v>0</v>
      </c>
      <c r="E8" s="123">
        <f t="shared" ref="E8:E9" si="1">B8+C8+D8</f>
        <v>0</v>
      </c>
    </row>
    <row r="9" spans="1:11" s="406" customFormat="1" ht="27.6" hidden="1" customHeight="1">
      <c r="A9" s="97" t="s">
        <v>714</v>
      </c>
      <c r="B9" s="123">
        <f>B7+B8</f>
        <v>3257476</v>
      </c>
      <c r="C9" s="123">
        <f>C7+C8</f>
        <v>235600</v>
      </c>
      <c r="D9" s="123">
        <f>D7+D8</f>
        <v>23730</v>
      </c>
      <c r="E9" s="123">
        <f t="shared" si="1"/>
        <v>3516806</v>
      </c>
      <c r="K9" s="545"/>
    </row>
    <row r="10" spans="1:11" s="406" customFormat="1" ht="13.2">
      <c r="A10" s="159" t="s">
        <v>97</v>
      </c>
      <c r="B10" s="202">
        <f>SUM(B11:B13)</f>
        <v>926927</v>
      </c>
      <c r="C10" s="202">
        <f t="shared" ref="C10:D10" si="2">SUM(C11:C13)</f>
        <v>258332</v>
      </c>
      <c r="D10" s="202">
        <f t="shared" si="2"/>
        <v>0</v>
      </c>
      <c r="E10" s="123">
        <f>B10+C10</f>
        <v>1185259</v>
      </c>
      <c r="K10" s="545"/>
    </row>
    <row r="11" spans="1:11" s="406" customFormat="1" ht="13.2" hidden="1">
      <c r="A11" s="380" t="s">
        <v>410</v>
      </c>
      <c r="B11" s="200">
        <v>0</v>
      </c>
      <c r="C11" s="200">
        <v>0</v>
      </c>
      <c r="D11" s="200">
        <v>0</v>
      </c>
      <c r="E11" s="200">
        <f>B11+C11+D11</f>
        <v>0</v>
      </c>
      <c r="I11" s="546"/>
      <c r="K11" s="546"/>
    </row>
    <row r="12" spans="1:11" s="406" customFormat="1" ht="13.2">
      <c r="A12" s="87" t="s">
        <v>147</v>
      </c>
      <c r="B12" s="200">
        <v>860364</v>
      </c>
      <c r="C12" s="200">
        <v>258332</v>
      </c>
      <c r="D12" s="200">
        <v>0</v>
      </c>
      <c r="E12" s="200">
        <f>B12+C12+D12</f>
        <v>1118696</v>
      </c>
      <c r="I12" s="546"/>
    </row>
    <row r="13" spans="1:11" s="406" customFormat="1" ht="13.2">
      <c r="A13" s="380" t="s">
        <v>148</v>
      </c>
      <c r="B13" s="200">
        <v>66563</v>
      </c>
      <c r="C13" s="200">
        <v>0</v>
      </c>
      <c r="D13" s="200">
        <v>0</v>
      </c>
      <c r="E13" s="200">
        <f>B13+C13+D13</f>
        <v>66563</v>
      </c>
      <c r="I13" s="546"/>
    </row>
    <row r="14" spans="1:11" s="381" customFormat="1" ht="13.2">
      <c r="A14" s="159" t="s">
        <v>96</v>
      </c>
      <c r="B14" s="202">
        <f>SUM(B15:B17)</f>
        <v>201983</v>
      </c>
      <c r="C14" s="202">
        <f>SUM(C15:C17)</f>
        <v>0</v>
      </c>
      <c r="D14" s="202">
        <f>SUM(D15:D17)</f>
        <v>0</v>
      </c>
      <c r="E14" s="123">
        <f t="shared" ref="E14" si="3">B14+C14+D14</f>
        <v>201983</v>
      </c>
      <c r="H14" s="406"/>
      <c r="I14" s="406"/>
    </row>
    <row r="15" spans="1:11" s="406" customFormat="1" ht="13.2">
      <c r="A15" s="87" t="s">
        <v>880</v>
      </c>
      <c r="B15" s="200">
        <v>201983</v>
      </c>
      <c r="C15" s="200">
        <v>0</v>
      </c>
      <c r="D15" s="200">
        <v>0</v>
      </c>
      <c r="E15" s="200">
        <f>B15+C15+D15</f>
        <v>201983</v>
      </c>
      <c r="I15" s="205"/>
    </row>
    <row r="16" spans="1:11" s="406" customFormat="1" ht="13.2" hidden="1">
      <c r="A16" s="87" t="s">
        <v>731</v>
      </c>
      <c r="B16" s="200">
        <v>0</v>
      </c>
      <c r="C16" s="200"/>
      <c r="D16" s="200">
        <v>0</v>
      </c>
      <c r="E16" s="200">
        <f>B16+C16+D16</f>
        <v>0</v>
      </c>
      <c r="I16" s="205"/>
    </row>
    <row r="17" spans="1:5" s="31" customFormat="1" ht="13.2" hidden="1">
      <c r="A17" s="87" t="s">
        <v>475</v>
      </c>
      <c r="B17" s="200">
        <v>0</v>
      </c>
      <c r="C17" s="200"/>
      <c r="D17" s="200">
        <v>0</v>
      </c>
      <c r="E17" s="200">
        <f>B17+C17+D17</f>
        <v>0</v>
      </c>
    </row>
    <row r="18" spans="1:5" s="205" customFormat="1" ht="13.8" thickBot="1">
      <c r="A18" s="98" t="s">
        <v>1008</v>
      </c>
      <c r="B18" s="156">
        <f>B9+B10-B14</f>
        <v>3982420</v>
      </c>
      <c r="C18" s="156">
        <f>C9+C10-C14</f>
        <v>493932</v>
      </c>
      <c r="D18" s="156">
        <f>D9+D10-D14</f>
        <v>23730</v>
      </c>
      <c r="E18" s="156">
        <f t="shared" ref="E18" si="4">B18+C18+D18</f>
        <v>4500082</v>
      </c>
    </row>
    <row r="19" spans="1:5" s="510" customFormat="1" ht="13.8" thickTop="1">
      <c r="A19" s="327" t="s">
        <v>1016</v>
      </c>
      <c r="B19" s="347">
        <f>B56</f>
        <v>1879453</v>
      </c>
      <c r="C19" s="347">
        <f t="shared" ref="C19:D19" si="5">C56</f>
        <v>23561</v>
      </c>
      <c r="D19" s="347">
        <f t="shared" si="5"/>
        <v>10673</v>
      </c>
      <c r="E19" s="347">
        <f>B19+C19+D19</f>
        <v>1913687</v>
      </c>
    </row>
    <row r="20" spans="1:5" s="406" customFormat="1" ht="13.2" hidden="1">
      <c r="A20" s="61" t="s">
        <v>669</v>
      </c>
      <c r="B20" s="155">
        <v>0</v>
      </c>
      <c r="C20" s="155">
        <v>0</v>
      </c>
      <c r="D20" s="155">
        <v>0</v>
      </c>
      <c r="E20" s="123">
        <f t="shared" ref="E20:E22" si="6">B20+C20+D20</f>
        <v>0</v>
      </c>
    </row>
    <row r="21" spans="1:5" s="406" customFormat="1" ht="13.2" hidden="1">
      <c r="A21" s="97" t="s">
        <v>715</v>
      </c>
      <c r="B21" s="88">
        <f>B19+B20</f>
        <v>1879453</v>
      </c>
      <c r="C21" s="88">
        <f>C19+C20</f>
        <v>23561</v>
      </c>
      <c r="D21" s="88">
        <f>D19+D20</f>
        <v>10673</v>
      </c>
      <c r="E21" s="123">
        <f t="shared" si="6"/>
        <v>1913687</v>
      </c>
    </row>
    <row r="22" spans="1:5" s="406" customFormat="1" ht="13.2">
      <c r="A22" s="61" t="s">
        <v>97</v>
      </c>
      <c r="B22" s="88">
        <f>SUM(B23:B24)</f>
        <v>775710</v>
      </c>
      <c r="C22" s="88">
        <f>SUM(C23:C24)</f>
        <v>85875</v>
      </c>
      <c r="D22" s="88">
        <f>SUM(D23:D24)</f>
        <v>6893</v>
      </c>
      <c r="E22" s="123">
        <f t="shared" si="6"/>
        <v>868478</v>
      </c>
    </row>
    <row r="23" spans="1:5" s="406" customFormat="1" ht="13.2">
      <c r="A23" s="87" t="s">
        <v>152</v>
      </c>
      <c r="B23" s="200">
        <f>775710</f>
        <v>775710</v>
      </c>
      <c r="C23" s="200">
        <v>85875</v>
      </c>
      <c r="D23" s="200">
        <v>6893</v>
      </c>
      <c r="E23" s="200">
        <f>B23+C23+D23</f>
        <v>868478</v>
      </c>
    </row>
    <row r="24" spans="1:5" s="406" customFormat="1" ht="13.2" hidden="1">
      <c r="A24" s="87" t="s">
        <v>475</v>
      </c>
      <c r="B24" s="200">
        <v>0</v>
      </c>
      <c r="C24" s="200">
        <v>0</v>
      </c>
      <c r="D24" s="200">
        <v>0</v>
      </c>
      <c r="E24" s="200">
        <v>0</v>
      </c>
    </row>
    <row r="25" spans="1:5" s="381" customFormat="1" ht="13.2">
      <c r="A25" s="159" t="s">
        <v>96</v>
      </c>
      <c r="B25" s="202">
        <f>SUM(B26:B28)</f>
        <v>204058</v>
      </c>
      <c r="C25" s="202">
        <f>SUM(C26:C28)</f>
        <v>0</v>
      </c>
      <c r="D25" s="202">
        <f>SUM(D26:D28)</f>
        <v>0</v>
      </c>
      <c r="E25" s="123">
        <f t="shared" ref="E25" si="7">B25+C25+D25</f>
        <v>204058</v>
      </c>
    </row>
    <row r="26" spans="1:5" customFormat="1" ht="13.2">
      <c r="A26" s="380" t="s">
        <v>1027</v>
      </c>
      <c r="B26" s="200">
        <f>204059-1</f>
        <v>204058</v>
      </c>
      <c r="C26" s="200">
        <v>0</v>
      </c>
      <c r="D26" s="200">
        <v>0</v>
      </c>
      <c r="E26" s="200">
        <f>B26+C26+D26</f>
        <v>204058</v>
      </c>
    </row>
    <row r="27" spans="1:5" customFormat="1" ht="13.2" hidden="1">
      <c r="A27" s="380" t="s">
        <v>149</v>
      </c>
      <c r="B27" s="200">
        <v>0</v>
      </c>
      <c r="C27" s="200">
        <v>0</v>
      </c>
      <c r="D27" s="200">
        <v>0</v>
      </c>
      <c r="E27" s="200">
        <f>B27+C27+D27</f>
        <v>0</v>
      </c>
    </row>
    <row r="28" spans="1:5" s="510" customFormat="1" ht="13.2" hidden="1">
      <c r="A28" s="87" t="s">
        <v>475</v>
      </c>
      <c r="B28" s="200">
        <v>0</v>
      </c>
      <c r="C28" s="200">
        <v>0</v>
      </c>
      <c r="D28" s="200">
        <v>0</v>
      </c>
      <c r="E28" s="200">
        <v>0</v>
      </c>
    </row>
    <row r="29" spans="1:5" s="205" customFormat="1" ht="13.8" thickBot="1">
      <c r="A29" s="98" t="s">
        <v>1010</v>
      </c>
      <c r="B29" s="156">
        <f>B21+B22-B25</f>
        <v>2451105</v>
      </c>
      <c r="C29" s="156">
        <f>C21+C22-C25</f>
        <v>109436</v>
      </c>
      <c r="D29" s="156">
        <f>D21+D22-D25</f>
        <v>17566</v>
      </c>
      <c r="E29" s="156">
        <f t="shared" ref="E29" si="8">B29+C29+D29</f>
        <v>2578107</v>
      </c>
    </row>
    <row r="30" spans="1:5" s="31" customFormat="1" ht="14.4" thickTop="1" thickBot="1">
      <c r="A30" s="411" t="s">
        <v>1011</v>
      </c>
      <c r="B30" s="503">
        <f>B18-B29</f>
        <v>1531315</v>
      </c>
      <c r="C30" s="503">
        <f>C18-C29</f>
        <v>384496</v>
      </c>
      <c r="D30" s="503">
        <f>D18-D29</f>
        <v>6164</v>
      </c>
      <c r="E30" s="156">
        <f t="shared" ref="E30" si="9">B30+C30+D30</f>
        <v>1921975</v>
      </c>
    </row>
    <row r="31" spans="1:5" ht="27.75" customHeight="1" thickTop="1">
      <c r="B31" s="393"/>
      <c r="C31" s="393"/>
      <c r="D31" s="393"/>
      <c r="E31" s="301">
        <f>Aktywa!D6-E30</f>
        <v>0</v>
      </c>
    </row>
    <row r="34" spans="1:5">
      <c r="A34" s="51" t="s">
        <v>858</v>
      </c>
    </row>
    <row r="35" spans="1:5">
      <c r="A35" s="51"/>
    </row>
    <row r="36" spans="1:5" ht="20.399999999999999">
      <c r="A36" s="99" t="s">
        <v>294</v>
      </c>
      <c r="B36" s="400" t="s">
        <v>667</v>
      </c>
      <c r="C36" s="400" t="s">
        <v>668</v>
      </c>
      <c r="D36" s="400" t="s">
        <v>700</v>
      </c>
      <c r="E36" s="400" t="s">
        <v>25</v>
      </c>
    </row>
    <row r="37" spans="1:5">
      <c r="A37" s="97" t="s">
        <v>857</v>
      </c>
      <c r="B37" s="123">
        <v>2612932</v>
      </c>
      <c r="C37" s="123">
        <v>281325</v>
      </c>
      <c r="D37" s="123">
        <v>23730</v>
      </c>
      <c r="E37" s="123">
        <f>B37+C37+D37</f>
        <v>2917987</v>
      </c>
    </row>
    <row r="38" spans="1:5" hidden="1">
      <c r="A38" s="97" t="s">
        <v>669</v>
      </c>
      <c r="B38" s="123"/>
      <c r="C38" s="123"/>
      <c r="D38" s="123">
        <v>0</v>
      </c>
      <c r="E38" s="123">
        <f t="shared" ref="E38:E39" si="10">B38+C38+D38</f>
        <v>0</v>
      </c>
    </row>
    <row r="39" spans="1:5" hidden="1">
      <c r="A39" s="97" t="s">
        <v>672</v>
      </c>
      <c r="B39" s="123">
        <f>B37+B38</f>
        <v>2612932</v>
      </c>
      <c r="C39" s="123">
        <f>C37+C38</f>
        <v>281325</v>
      </c>
      <c r="D39" s="123">
        <f>D37+D38</f>
        <v>23730</v>
      </c>
      <c r="E39" s="123">
        <f t="shared" si="10"/>
        <v>2917987</v>
      </c>
    </row>
    <row r="40" spans="1:5">
      <c r="A40" s="159" t="s">
        <v>97</v>
      </c>
      <c r="B40" s="202">
        <f>SUM(B41:B42)</f>
        <v>1095858</v>
      </c>
      <c r="C40" s="202">
        <f>SUM(C41:C42)</f>
        <v>235600</v>
      </c>
      <c r="D40" s="202">
        <f>SUM(D41:D42)</f>
        <v>0</v>
      </c>
      <c r="E40" s="123">
        <f>B40+C40+D40</f>
        <v>1331458</v>
      </c>
    </row>
    <row r="41" spans="1:5" hidden="1">
      <c r="A41" s="380" t="s">
        <v>410</v>
      </c>
      <c r="B41" s="200">
        <v>0</v>
      </c>
      <c r="C41" s="200">
        <v>0</v>
      </c>
      <c r="D41" s="200">
        <v>0</v>
      </c>
      <c r="E41" s="200">
        <f>B41+C41+D41</f>
        <v>0</v>
      </c>
    </row>
    <row r="42" spans="1:5">
      <c r="A42" s="87" t="s">
        <v>147</v>
      </c>
      <c r="B42" s="200">
        <v>1095858</v>
      </c>
      <c r="C42" s="200">
        <v>235600</v>
      </c>
      <c r="D42" s="200">
        <v>0</v>
      </c>
      <c r="E42" s="200">
        <f>B42+C42+D42</f>
        <v>1331458</v>
      </c>
    </row>
    <row r="43" spans="1:5">
      <c r="A43" s="159" t="s">
        <v>96</v>
      </c>
      <c r="B43" s="202">
        <f>SUM(B44:B45)</f>
        <v>451314</v>
      </c>
      <c r="C43" s="202">
        <f>SUM(C44:C45)</f>
        <v>281325</v>
      </c>
      <c r="D43" s="202">
        <f>SUM(D44:D45)</f>
        <v>0</v>
      </c>
      <c r="E43" s="123">
        <f t="shared" ref="E43" si="11">B43+C43+D43</f>
        <v>732639</v>
      </c>
    </row>
    <row r="44" spans="1:5">
      <c r="A44" s="87" t="s">
        <v>880</v>
      </c>
      <c r="B44" s="200">
        <v>0</v>
      </c>
      <c r="C44" s="200">
        <v>114937</v>
      </c>
      <c r="D44" s="200">
        <v>0</v>
      </c>
      <c r="E44" s="200">
        <f>B44+C44+D44</f>
        <v>114937</v>
      </c>
    </row>
    <row r="45" spans="1:5">
      <c r="A45" s="87" t="s">
        <v>475</v>
      </c>
      <c r="B45" s="200">
        <v>451314</v>
      </c>
      <c r="C45" s="200">
        <v>166388</v>
      </c>
      <c r="D45" s="200">
        <v>0</v>
      </c>
      <c r="E45" s="200">
        <v>0</v>
      </c>
    </row>
    <row r="46" spans="1:5" ht="10.8" thickBot="1">
      <c r="A46" s="98" t="s">
        <v>856</v>
      </c>
      <c r="B46" s="156">
        <f>B39+B40-B43</f>
        <v>3257476</v>
      </c>
      <c r="C46" s="156">
        <f>C39+C40-C43</f>
        <v>235600</v>
      </c>
      <c r="D46" s="156">
        <f>D39+D40-D43</f>
        <v>23730</v>
      </c>
      <c r="E46" s="156">
        <f t="shared" ref="E46" si="12">B46+C46+D46</f>
        <v>3516806</v>
      </c>
    </row>
    <row r="47" spans="1:5" ht="10.8" thickTop="1">
      <c r="A47" s="327" t="s">
        <v>855</v>
      </c>
      <c r="B47" s="347">
        <v>1242757</v>
      </c>
      <c r="C47" s="347">
        <v>142943</v>
      </c>
      <c r="D47" s="347">
        <v>5932</v>
      </c>
      <c r="E47" s="347">
        <f>B47+C47</f>
        <v>1385700</v>
      </c>
    </row>
    <row r="48" spans="1:5" hidden="1">
      <c r="A48" s="61" t="s">
        <v>669</v>
      </c>
      <c r="B48" s="155">
        <v>0</v>
      </c>
      <c r="C48" s="155">
        <v>0</v>
      </c>
      <c r="D48" s="155">
        <v>0</v>
      </c>
      <c r="E48" s="123">
        <f t="shared" ref="E48:E50" si="13">B48+C48+D48</f>
        <v>0</v>
      </c>
    </row>
    <row r="49" spans="1:5" hidden="1">
      <c r="A49" s="97" t="s">
        <v>715</v>
      </c>
      <c r="B49" s="88">
        <f>B47+B48</f>
        <v>1242757</v>
      </c>
      <c r="C49" s="88">
        <f>C47+C48</f>
        <v>142943</v>
      </c>
      <c r="D49" s="88">
        <f>D47+D48</f>
        <v>5932</v>
      </c>
      <c r="E49" s="123">
        <f t="shared" si="13"/>
        <v>1391632</v>
      </c>
    </row>
    <row r="50" spans="1:5">
      <c r="A50" s="61" t="s">
        <v>97</v>
      </c>
      <c r="B50" s="88">
        <f>SUM(B51:B52)</f>
        <v>848776</v>
      </c>
      <c r="C50" s="88">
        <f>SUM(C51:C52)</f>
        <v>47006</v>
      </c>
      <c r="D50" s="88">
        <f>SUM(D51:D52)</f>
        <v>4741</v>
      </c>
      <c r="E50" s="123">
        <f t="shared" si="13"/>
        <v>900523</v>
      </c>
    </row>
    <row r="51" spans="1:5">
      <c r="A51" s="87" t="s">
        <v>152</v>
      </c>
      <c r="B51" s="200">
        <v>848776</v>
      </c>
      <c r="C51" s="200">
        <v>47006</v>
      </c>
      <c r="D51" s="200">
        <v>4741</v>
      </c>
      <c r="E51" s="200">
        <f>B51+C51+D51</f>
        <v>900523</v>
      </c>
    </row>
    <row r="52" spans="1:5" hidden="1">
      <c r="A52" s="87" t="s">
        <v>475</v>
      </c>
      <c r="B52" s="200">
        <v>0</v>
      </c>
      <c r="C52" s="200">
        <v>0</v>
      </c>
      <c r="D52" s="200">
        <v>0</v>
      </c>
      <c r="E52" s="200">
        <v>0</v>
      </c>
    </row>
    <row r="53" spans="1:5">
      <c r="A53" s="159" t="s">
        <v>96</v>
      </c>
      <c r="B53" s="202">
        <f>SUM(B54:B55)</f>
        <v>212080</v>
      </c>
      <c r="C53" s="202">
        <f>SUM(C54:C55)</f>
        <v>166388</v>
      </c>
      <c r="D53" s="202">
        <f>SUM(D54:D55)</f>
        <v>0</v>
      </c>
      <c r="E53" s="123">
        <f t="shared" ref="E53" si="14">B53+C53+D53</f>
        <v>378468</v>
      </c>
    </row>
    <row r="54" spans="1:5" hidden="1">
      <c r="A54" s="87" t="s">
        <v>153</v>
      </c>
      <c r="B54" s="200">
        <v>0</v>
      </c>
      <c r="C54" s="200">
        <v>0</v>
      </c>
      <c r="D54" s="200">
        <v>0</v>
      </c>
      <c r="E54" s="200">
        <f>B54+C54+D54</f>
        <v>0</v>
      </c>
    </row>
    <row r="55" spans="1:5">
      <c r="A55" s="380" t="s">
        <v>475</v>
      </c>
      <c r="B55" s="200">
        <v>212080</v>
      </c>
      <c r="C55" s="200">
        <v>166388</v>
      </c>
      <c r="D55" s="200">
        <v>0</v>
      </c>
      <c r="E55" s="200">
        <v>0</v>
      </c>
    </row>
    <row r="56" spans="1:5" ht="10.8" thickBot="1">
      <c r="A56" s="98" t="s">
        <v>854</v>
      </c>
      <c r="B56" s="156">
        <f>B49+B50-B53</f>
        <v>1879453</v>
      </c>
      <c r="C56" s="156">
        <f>C49+C50-C53</f>
        <v>23561</v>
      </c>
      <c r="D56" s="156">
        <f>D49+D50-D53</f>
        <v>10673</v>
      </c>
      <c r="E56" s="156">
        <f t="shared" ref="E56:E57" si="15">B56+C56+D56</f>
        <v>1913687</v>
      </c>
    </row>
    <row r="57" spans="1:5" ht="11.4" thickTop="1" thickBot="1">
      <c r="A57" s="411" t="s">
        <v>853</v>
      </c>
      <c r="B57" s="503">
        <f>B46-B56</f>
        <v>1378023</v>
      </c>
      <c r="C57" s="503">
        <f>C46-C56</f>
        <v>212039</v>
      </c>
      <c r="D57" s="503">
        <f>D46-D56</f>
        <v>13057</v>
      </c>
      <c r="E57" s="156">
        <f t="shared" si="15"/>
        <v>1603119</v>
      </c>
    </row>
    <row r="58" spans="1:5" ht="10.8" thickTop="1">
      <c r="B58" s="393"/>
      <c r="C58" s="393"/>
      <c r="D58" s="393"/>
      <c r="E58" s="301">
        <f>Aktywa!E6-E57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showGridLines="0" view="pageBreakPreview" zoomScaleNormal="100" workbookViewId="0">
      <selection activeCell="B18" sqref="B18:D37"/>
    </sheetView>
  </sheetViews>
  <sheetFormatPr defaultColWidth="9.33203125" defaultRowHeight="10.199999999999999"/>
  <cols>
    <col min="1" max="1" width="3.44140625" style="41" customWidth="1"/>
    <col min="2" max="2" width="41.33203125" style="41" customWidth="1"/>
    <col min="3" max="8" width="14.6640625" style="41" customWidth="1"/>
    <col min="9" max="16384" width="9.33203125" style="41"/>
  </cols>
  <sheetData>
    <row r="1" spans="2:10" s="44" customFormat="1">
      <c r="B1" s="172"/>
    </row>
    <row r="2" spans="2:10" ht="16.5" customHeight="1">
      <c r="B2" s="381" t="s">
        <v>836</v>
      </c>
    </row>
    <row r="3" spans="2:10" ht="12" customHeight="1">
      <c r="B3" s="3"/>
    </row>
    <row r="4" spans="2:10" s="44" customFormat="1">
      <c r="B4" s="105" t="s">
        <v>287</v>
      </c>
      <c r="C4" s="101"/>
      <c r="D4" s="101"/>
      <c r="E4" s="41"/>
      <c r="F4" s="101"/>
      <c r="G4" s="101"/>
      <c r="H4" s="101"/>
      <c r="I4" s="199"/>
      <c r="J4" s="199"/>
    </row>
    <row r="5" spans="2:10" s="44" customFormat="1">
      <c r="B5" s="105"/>
      <c r="C5" s="101"/>
      <c r="D5" s="101"/>
      <c r="E5" s="41"/>
      <c r="F5" s="101"/>
      <c r="G5" s="101"/>
      <c r="H5" s="101"/>
      <c r="I5" s="199"/>
      <c r="J5" s="199"/>
    </row>
    <row r="6" spans="2:10">
      <c r="B6" s="107" t="s">
        <v>294</v>
      </c>
      <c r="C6" s="420">
        <f>'Dane podstawowe'!$B$9</f>
        <v>44926</v>
      </c>
      <c r="D6" s="420">
        <f>'Dane podstawowe'!$B$14</f>
        <v>44561</v>
      </c>
      <c r="E6" s="101"/>
    </row>
    <row r="7" spans="2:10" hidden="1">
      <c r="B7" s="157" t="s">
        <v>673</v>
      </c>
      <c r="C7" s="75"/>
      <c r="D7" s="75">
        <v>0</v>
      </c>
      <c r="E7" s="101"/>
    </row>
    <row r="8" spans="2:10" hidden="1">
      <c r="B8" s="157" t="s">
        <v>624</v>
      </c>
      <c r="C8" s="75"/>
      <c r="D8" s="75">
        <v>0</v>
      </c>
      <c r="E8" s="101"/>
    </row>
    <row r="9" spans="2:10">
      <c r="B9" s="157" t="s">
        <v>607</v>
      </c>
      <c r="C9" s="75">
        <v>1141515</v>
      </c>
      <c r="D9" s="75">
        <v>1141515</v>
      </c>
      <c r="E9" s="101"/>
    </row>
    <row r="10" spans="2:10">
      <c r="B10" s="157" t="s">
        <v>606</v>
      </c>
      <c r="C10" s="75">
        <v>679876</v>
      </c>
      <c r="D10" s="75">
        <v>679876</v>
      </c>
      <c r="E10" s="101"/>
    </row>
    <row r="11" spans="2:10" hidden="1">
      <c r="B11" s="157" t="s">
        <v>625</v>
      </c>
      <c r="C11" s="75"/>
      <c r="D11" s="75">
        <v>0</v>
      </c>
      <c r="E11" s="101"/>
    </row>
    <row r="12" spans="2:10" hidden="1">
      <c r="B12" s="157" t="s">
        <v>626</v>
      </c>
      <c r="C12" s="75"/>
      <c r="D12" s="75">
        <v>0</v>
      </c>
      <c r="E12" s="101"/>
    </row>
    <row r="13" spans="2:10">
      <c r="B13" s="50" t="s">
        <v>140</v>
      </c>
      <c r="C13" s="117">
        <f>SUM(C7:C12)</f>
        <v>1821391</v>
      </c>
      <c r="D13" s="117">
        <f>SUM(D7:D12)</f>
        <v>1821391</v>
      </c>
      <c r="E13" s="101"/>
    </row>
    <row r="14" spans="2:10">
      <c r="C14" s="292">
        <f>Aktywa!D7-'NOTA 12 - Wartość firmy'!C13</f>
        <v>0</v>
      </c>
      <c r="D14" s="292">
        <f>Aktywa!E7-'NOTA 12 - Wartość firmy'!D13</f>
        <v>0</v>
      </c>
      <c r="E14" s="101"/>
    </row>
    <row r="15" spans="2:10">
      <c r="E15" s="101"/>
    </row>
    <row r="16" spans="2:10">
      <c r="B16" s="51" t="s">
        <v>674</v>
      </c>
      <c r="E16" s="101"/>
    </row>
    <row r="17" spans="2:5">
      <c r="B17" s="51"/>
      <c r="E17" s="101"/>
    </row>
    <row r="18" spans="2:5">
      <c r="B18" s="99" t="s">
        <v>294</v>
      </c>
      <c r="C18" s="420">
        <f>'Dane podstawowe'!$B$9</f>
        <v>44926</v>
      </c>
      <c r="D18" s="420">
        <f>'Dane podstawowe'!$B$14</f>
        <v>44561</v>
      </c>
      <c r="E18" s="101"/>
    </row>
    <row r="19" spans="2:5">
      <c r="B19" s="56" t="s">
        <v>98</v>
      </c>
      <c r="C19" s="127">
        <f>D30</f>
        <v>1821391</v>
      </c>
      <c r="D19" s="127">
        <v>1821391</v>
      </c>
      <c r="E19" s="101"/>
    </row>
    <row r="20" spans="2:5">
      <c r="B20" s="3" t="s">
        <v>97</v>
      </c>
      <c r="C20" s="227">
        <f>SUM(C21:C24)</f>
        <v>0</v>
      </c>
      <c r="D20" s="227">
        <f>SUM(D21:D24)</f>
        <v>0</v>
      </c>
      <c r="E20" s="101"/>
    </row>
    <row r="21" spans="2:5" hidden="1">
      <c r="B21" s="208" t="s">
        <v>284</v>
      </c>
      <c r="C21" s="208">
        <v>0</v>
      </c>
      <c r="D21" s="208">
        <v>0</v>
      </c>
      <c r="E21" s="101"/>
    </row>
    <row r="22" spans="2:5" hidden="1">
      <c r="B22" s="496" t="s">
        <v>627</v>
      </c>
      <c r="C22" s="208">
        <v>0</v>
      </c>
      <c r="D22" s="208">
        <v>0</v>
      </c>
      <c r="E22" s="101"/>
    </row>
    <row r="23" spans="2:5" ht="20.399999999999999" hidden="1">
      <c r="B23" s="303" t="s">
        <v>154</v>
      </c>
      <c r="C23" s="208">
        <v>0</v>
      </c>
      <c r="D23" s="208">
        <v>0</v>
      </c>
      <c r="E23" s="101"/>
    </row>
    <row r="24" spans="2:5" hidden="1">
      <c r="B24" s="208" t="s">
        <v>285</v>
      </c>
      <c r="C24" s="208">
        <v>0</v>
      </c>
      <c r="D24" s="208">
        <v>0</v>
      </c>
      <c r="E24" s="101"/>
    </row>
    <row r="25" spans="2:5">
      <c r="B25" s="227" t="s">
        <v>96</v>
      </c>
      <c r="C25" s="227">
        <f>SUM(C26:C29)</f>
        <v>0</v>
      </c>
      <c r="D25" s="227">
        <f>SUM(D26:D29)</f>
        <v>0</v>
      </c>
      <c r="E25" s="101"/>
    </row>
    <row r="26" spans="2:5" hidden="1">
      <c r="B26" s="208" t="s">
        <v>344</v>
      </c>
      <c r="C26" s="208">
        <v>0</v>
      </c>
      <c r="D26" s="208">
        <v>0</v>
      </c>
      <c r="E26" s="101"/>
    </row>
    <row r="27" spans="2:5" ht="10.199999999999999" hidden="1" customHeight="1">
      <c r="B27" s="496" t="s">
        <v>718</v>
      </c>
      <c r="C27" s="208">
        <v>0</v>
      </c>
      <c r="D27" s="208">
        <v>0</v>
      </c>
      <c r="E27" s="101"/>
    </row>
    <row r="28" spans="2:5" ht="20.399999999999999" hidden="1">
      <c r="B28" s="303" t="s">
        <v>159</v>
      </c>
      <c r="C28" s="208">
        <v>0</v>
      </c>
      <c r="D28" s="208">
        <v>0</v>
      </c>
      <c r="E28" s="101"/>
    </row>
    <row r="29" spans="2:5" s="44" customFormat="1" ht="20.399999999999999" hidden="1">
      <c r="B29" s="303" t="s">
        <v>154</v>
      </c>
      <c r="C29" s="208">
        <v>0</v>
      </c>
      <c r="D29" s="208">
        <v>0</v>
      </c>
      <c r="E29" s="101"/>
    </row>
    <row r="30" spans="2:5">
      <c r="B30" s="56" t="s">
        <v>99</v>
      </c>
      <c r="C30" s="127">
        <f>C19+C20-C25</f>
        <v>1821391</v>
      </c>
      <c r="D30" s="127">
        <f>D19+D20-D25</f>
        <v>1821391</v>
      </c>
      <c r="E30" s="101"/>
    </row>
    <row r="31" spans="2:5">
      <c r="B31" s="56"/>
      <c r="C31" s="127"/>
      <c r="D31" s="127"/>
      <c r="E31" s="101"/>
    </row>
    <row r="32" spans="2:5" ht="20.399999999999999">
      <c r="B32" s="56" t="s">
        <v>100</v>
      </c>
      <c r="C32" s="128">
        <f>D35</f>
        <v>0</v>
      </c>
      <c r="D32" s="128">
        <v>0</v>
      </c>
      <c r="E32" s="101"/>
    </row>
    <row r="33" spans="2:8" ht="20.399999999999999" hidden="1">
      <c r="B33" s="207" t="s">
        <v>286</v>
      </c>
      <c r="C33" s="208">
        <v>0</v>
      </c>
      <c r="D33" s="208">
        <v>0</v>
      </c>
      <c r="E33" s="101"/>
    </row>
    <row r="34" spans="2:8" hidden="1">
      <c r="B34" s="207" t="s">
        <v>295</v>
      </c>
      <c r="C34" s="208">
        <v>0</v>
      </c>
      <c r="D34" s="208">
        <v>0</v>
      </c>
      <c r="E34" s="101"/>
    </row>
    <row r="35" spans="2:8" s="42" customFormat="1" ht="20.399999999999999">
      <c r="B35" s="97" t="s">
        <v>101</v>
      </c>
      <c r="C35" s="128">
        <f>SUM(C32:C34)</f>
        <v>0</v>
      </c>
      <c r="D35" s="128">
        <f>SUM(D32:D34)</f>
        <v>0</v>
      </c>
      <c r="E35" s="101"/>
    </row>
    <row r="36" spans="2:8" s="42" customFormat="1" ht="8.25" customHeight="1">
      <c r="B36" s="97"/>
      <c r="C36" s="128"/>
      <c r="D36" s="128"/>
      <c r="E36" s="101"/>
    </row>
    <row r="37" spans="2:8">
      <c r="B37" s="52" t="s">
        <v>140</v>
      </c>
      <c r="C37" s="88">
        <f>C30-C35</f>
        <v>1821391</v>
      </c>
      <c r="D37" s="88">
        <f>D30-D35</f>
        <v>1821391</v>
      </c>
      <c r="E37" s="101"/>
    </row>
    <row r="38" spans="2:8">
      <c r="C38" s="292">
        <f>Aktywa!D7-'NOTA 12 - Wartość firmy'!C37</f>
        <v>0</v>
      </c>
      <c r="D38" s="292">
        <f>Aktywa!E7-'NOTA 12 - Wartość firmy'!D37</f>
        <v>0</v>
      </c>
      <c r="E38" s="101"/>
    </row>
    <row r="39" spans="2:8">
      <c r="F39" s="101"/>
    </row>
    <row r="40" spans="2:8" hidden="1">
      <c r="B40" s="53" t="str">
        <f>CONCATENATE("Połączenia jednostek gospodarczych za okres od ",'Dane podstawowe'!B7)</f>
        <v>Połączenia jednostek gospodarczych za okres od 01.01.2022-31.12.2022</v>
      </c>
    </row>
    <row r="41" spans="2:8" hidden="1">
      <c r="B41" s="53"/>
    </row>
    <row r="42" spans="2:8" s="42" customFormat="1" ht="71.400000000000006" hidden="1">
      <c r="B42" s="70" t="s">
        <v>294</v>
      </c>
      <c r="C42" s="70" t="s">
        <v>68</v>
      </c>
      <c r="D42" s="70" t="s">
        <v>69</v>
      </c>
      <c r="E42" s="70" t="s">
        <v>70</v>
      </c>
      <c r="F42" s="70" t="s">
        <v>71</v>
      </c>
      <c r="G42" s="70" t="s">
        <v>141</v>
      </c>
      <c r="H42" s="70" t="s">
        <v>142</v>
      </c>
    </row>
    <row r="43" spans="2:8" s="44" customFormat="1" hidden="1">
      <c r="B43" s="109" t="s">
        <v>555</v>
      </c>
      <c r="C43" s="232"/>
      <c r="D43" s="163"/>
      <c r="E43" s="163"/>
      <c r="F43" s="163"/>
      <c r="G43" s="163"/>
      <c r="H43" s="163"/>
    </row>
    <row r="44" spans="2:8" s="44" customFormat="1" hidden="1">
      <c r="B44" s="109" t="s">
        <v>554</v>
      </c>
      <c r="C44" s="232"/>
      <c r="D44" s="163"/>
      <c r="E44" s="163"/>
      <c r="F44" s="163"/>
      <c r="G44" s="163"/>
      <c r="H44" s="163"/>
    </row>
    <row r="45" spans="2:8" hidden="1">
      <c r="B45" s="47" t="s">
        <v>72</v>
      </c>
      <c r="C45" s="147" t="s">
        <v>0</v>
      </c>
      <c r="D45" s="147" t="s">
        <v>0</v>
      </c>
      <c r="E45" s="147">
        <f>SUM(E43:E44)</f>
        <v>0</v>
      </c>
      <c r="F45" s="147">
        <f>SUM(F43:F44)</f>
        <v>0</v>
      </c>
      <c r="G45" s="147">
        <f>SUM(G43:G44)</f>
        <v>0</v>
      </c>
      <c r="H45" s="147">
        <f>SUM(H43:H44)</f>
        <v>0</v>
      </c>
    </row>
  </sheetData>
  <phoneticPr fontId="42" type="noConversion"/>
  <pageMargins left="0.75" right="0.75" top="1" bottom="1" header="0.5" footer="0.5"/>
  <pageSetup paperSize="9" scale="6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I62"/>
  <sheetViews>
    <sheetView showGridLines="0" zoomScaleNormal="100" zoomScaleSheetLayoutView="100" workbookViewId="0">
      <selection activeCell="H24" sqref="H24"/>
    </sheetView>
  </sheetViews>
  <sheetFormatPr defaultRowHeight="10.199999999999999"/>
  <cols>
    <col min="1" max="1" width="45.6640625" style="44" customWidth="1"/>
    <col min="2" max="3" width="14.33203125" style="44" customWidth="1"/>
    <col min="4" max="4" width="13.6640625" style="44" customWidth="1"/>
    <col min="5" max="5" width="13.5546875" style="44" customWidth="1"/>
    <col min="6" max="6" width="13.6640625" style="44" customWidth="1"/>
    <col min="7" max="7" width="23.33203125" style="44" customWidth="1"/>
    <col min="8" max="8" width="12.6640625" style="44" customWidth="1"/>
    <col min="9" max="9" width="13.33203125" style="44" customWidth="1"/>
    <col min="10" max="256" width="9.33203125" style="44"/>
    <col min="257" max="257" width="45.6640625" style="44" customWidth="1"/>
    <col min="258" max="259" width="14.33203125" style="44" customWidth="1"/>
    <col min="260" max="260" width="13.6640625" style="44" customWidth="1"/>
    <col min="261" max="261" width="13.5546875" style="44" customWidth="1"/>
    <col min="262" max="262" width="13.6640625" style="44" customWidth="1"/>
    <col min="263" max="263" width="18.6640625" style="44" customWidth="1"/>
    <col min="264" max="264" width="12.6640625" style="44" customWidth="1"/>
    <col min="265" max="265" width="13.33203125" style="44" customWidth="1"/>
    <col min="266" max="512" width="9.33203125" style="44"/>
    <col min="513" max="513" width="45.6640625" style="44" customWidth="1"/>
    <col min="514" max="515" width="14.33203125" style="44" customWidth="1"/>
    <col min="516" max="516" width="13.6640625" style="44" customWidth="1"/>
    <col min="517" max="517" width="13.5546875" style="44" customWidth="1"/>
    <col min="518" max="518" width="13.6640625" style="44" customWidth="1"/>
    <col min="519" max="519" width="18.6640625" style="44" customWidth="1"/>
    <col min="520" max="520" width="12.6640625" style="44" customWidth="1"/>
    <col min="521" max="521" width="13.33203125" style="44" customWidth="1"/>
    <col min="522" max="768" width="9.33203125" style="44"/>
    <col min="769" max="769" width="45.6640625" style="44" customWidth="1"/>
    <col min="770" max="771" width="14.33203125" style="44" customWidth="1"/>
    <col min="772" max="772" width="13.6640625" style="44" customWidth="1"/>
    <col min="773" max="773" width="13.5546875" style="44" customWidth="1"/>
    <col min="774" max="774" width="13.6640625" style="44" customWidth="1"/>
    <col min="775" max="775" width="18.6640625" style="44" customWidth="1"/>
    <col min="776" max="776" width="12.6640625" style="44" customWidth="1"/>
    <col min="777" max="777" width="13.33203125" style="44" customWidth="1"/>
    <col min="778" max="1024" width="9.33203125" style="44"/>
    <col min="1025" max="1025" width="45.6640625" style="44" customWidth="1"/>
    <col min="1026" max="1027" width="14.33203125" style="44" customWidth="1"/>
    <col min="1028" max="1028" width="13.6640625" style="44" customWidth="1"/>
    <col min="1029" max="1029" width="13.5546875" style="44" customWidth="1"/>
    <col min="1030" max="1030" width="13.6640625" style="44" customWidth="1"/>
    <col min="1031" max="1031" width="18.6640625" style="44" customWidth="1"/>
    <col min="1032" max="1032" width="12.6640625" style="44" customWidth="1"/>
    <col min="1033" max="1033" width="13.33203125" style="44" customWidth="1"/>
    <col min="1034" max="1280" width="9.33203125" style="44"/>
    <col min="1281" max="1281" width="45.6640625" style="44" customWidth="1"/>
    <col min="1282" max="1283" width="14.33203125" style="44" customWidth="1"/>
    <col min="1284" max="1284" width="13.6640625" style="44" customWidth="1"/>
    <col min="1285" max="1285" width="13.5546875" style="44" customWidth="1"/>
    <col min="1286" max="1286" width="13.6640625" style="44" customWidth="1"/>
    <col min="1287" max="1287" width="18.6640625" style="44" customWidth="1"/>
    <col min="1288" max="1288" width="12.6640625" style="44" customWidth="1"/>
    <col min="1289" max="1289" width="13.33203125" style="44" customWidth="1"/>
    <col min="1290" max="1536" width="9.33203125" style="44"/>
    <col min="1537" max="1537" width="45.6640625" style="44" customWidth="1"/>
    <col min="1538" max="1539" width="14.33203125" style="44" customWidth="1"/>
    <col min="1540" max="1540" width="13.6640625" style="44" customWidth="1"/>
    <col min="1541" max="1541" width="13.5546875" style="44" customWidth="1"/>
    <col min="1542" max="1542" width="13.6640625" style="44" customWidth="1"/>
    <col min="1543" max="1543" width="18.6640625" style="44" customWidth="1"/>
    <col min="1544" max="1544" width="12.6640625" style="44" customWidth="1"/>
    <col min="1545" max="1545" width="13.33203125" style="44" customWidth="1"/>
    <col min="1546" max="1792" width="9.33203125" style="44"/>
    <col min="1793" max="1793" width="45.6640625" style="44" customWidth="1"/>
    <col min="1794" max="1795" width="14.33203125" style="44" customWidth="1"/>
    <col min="1796" max="1796" width="13.6640625" style="44" customWidth="1"/>
    <col min="1797" max="1797" width="13.5546875" style="44" customWidth="1"/>
    <col min="1798" max="1798" width="13.6640625" style="44" customWidth="1"/>
    <col min="1799" max="1799" width="18.6640625" style="44" customWidth="1"/>
    <col min="1800" max="1800" width="12.6640625" style="44" customWidth="1"/>
    <col min="1801" max="1801" width="13.33203125" style="44" customWidth="1"/>
    <col min="1802" max="2048" width="9.33203125" style="44"/>
    <col min="2049" max="2049" width="45.6640625" style="44" customWidth="1"/>
    <col min="2050" max="2051" width="14.33203125" style="44" customWidth="1"/>
    <col min="2052" max="2052" width="13.6640625" style="44" customWidth="1"/>
    <col min="2053" max="2053" width="13.5546875" style="44" customWidth="1"/>
    <col min="2054" max="2054" width="13.6640625" style="44" customWidth="1"/>
    <col min="2055" max="2055" width="18.6640625" style="44" customWidth="1"/>
    <col min="2056" max="2056" width="12.6640625" style="44" customWidth="1"/>
    <col min="2057" max="2057" width="13.33203125" style="44" customWidth="1"/>
    <col min="2058" max="2304" width="9.33203125" style="44"/>
    <col min="2305" max="2305" width="45.6640625" style="44" customWidth="1"/>
    <col min="2306" max="2307" width="14.33203125" style="44" customWidth="1"/>
    <col min="2308" max="2308" width="13.6640625" style="44" customWidth="1"/>
    <col min="2309" max="2309" width="13.5546875" style="44" customWidth="1"/>
    <col min="2310" max="2310" width="13.6640625" style="44" customWidth="1"/>
    <col min="2311" max="2311" width="18.6640625" style="44" customWidth="1"/>
    <col min="2312" max="2312" width="12.6640625" style="44" customWidth="1"/>
    <col min="2313" max="2313" width="13.33203125" style="44" customWidth="1"/>
    <col min="2314" max="2560" width="9.33203125" style="44"/>
    <col min="2561" max="2561" width="45.6640625" style="44" customWidth="1"/>
    <col min="2562" max="2563" width="14.33203125" style="44" customWidth="1"/>
    <col min="2564" max="2564" width="13.6640625" style="44" customWidth="1"/>
    <col min="2565" max="2565" width="13.5546875" style="44" customWidth="1"/>
    <col min="2566" max="2566" width="13.6640625" style="44" customWidth="1"/>
    <col min="2567" max="2567" width="18.6640625" style="44" customWidth="1"/>
    <col min="2568" max="2568" width="12.6640625" style="44" customWidth="1"/>
    <col min="2569" max="2569" width="13.33203125" style="44" customWidth="1"/>
    <col min="2570" max="2816" width="9.33203125" style="44"/>
    <col min="2817" max="2817" width="45.6640625" style="44" customWidth="1"/>
    <col min="2818" max="2819" width="14.33203125" style="44" customWidth="1"/>
    <col min="2820" max="2820" width="13.6640625" style="44" customWidth="1"/>
    <col min="2821" max="2821" width="13.5546875" style="44" customWidth="1"/>
    <col min="2822" max="2822" width="13.6640625" style="44" customWidth="1"/>
    <col min="2823" max="2823" width="18.6640625" style="44" customWidth="1"/>
    <col min="2824" max="2824" width="12.6640625" style="44" customWidth="1"/>
    <col min="2825" max="2825" width="13.33203125" style="44" customWidth="1"/>
    <col min="2826" max="3072" width="9.33203125" style="44"/>
    <col min="3073" max="3073" width="45.6640625" style="44" customWidth="1"/>
    <col min="3074" max="3075" width="14.33203125" style="44" customWidth="1"/>
    <col min="3076" max="3076" width="13.6640625" style="44" customWidth="1"/>
    <col min="3077" max="3077" width="13.5546875" style="44" customWidth="1"/>
    <col min="3078" max="3078" width="13.6640625" style="44" customWidth="1"/>
    <col min="3079" max="3079" width="18.6640625" style="44" customWidth="1"/>
    <col min="3080" max="3080" width="12.6640625" style="44" customWidth="1"/>
    <col min="3081" max="3081" width="13.33203125" style="44" customWidth="1"/>
    <col min="3082" max="3328" width="9.33203125" style="44"/>
    <col min="3329" max="3329" width="45.6640625" style="44" customWidth="1"/>
    <col min="3330" max="3331" width="14.33203125" style="44" customWidth="1"/>
    <col min="3332" max="3332" width="13.6640625" style="44" customWidth="1"/>
    <col min="3333" max="3333" width="13.5546875" style="44" customWidth="1"/>
    <col min="3334" max="3334" width="13.6640625" style="44" customWidth="1"/>
    <col min="3335" max="3335" width="18.6640625" style="44" customWidth="1"/>
    <col min="3336" max="3336" width="12.6640625" style="44" customWidth="1"/>
    <col min="3337" max="3337" width="13.33203125" style="44" customWidth="1"/>
    <col min="3338" max="3584" width="9.33203125" style="44"/>
    <col min="3585" max="3585" width="45.6640625" style="44" customWidth="1"/>
    <col min="3586" max="3587" width="14.33203125" style="44" customWidth="1"/>
    <col min="3588" max="3588" width="13.6640625" style="44" customWidth="1"/>
    <col min="3589" max="3589" width="13.5546875" style="44" customWidth="1"/>
    <col min="3590" max="3590" width="13.6640625" style="44" customWidth="1"/>
    <col min="3591" max="3591" width="18.6640625" style="44" customWidth="1"/>
    <col min="3592" max="3592" width="12.6640625" style="44" customWidth="1"/>
    <col min="3593" max="3593" width="13.33203125" style="44" customWidth="1"/>
    <col min="3594" max="3840" width="9.33203125" style="44"/>
    <col min="3841" max="3841" width="45.6640625" style="44" customWidth="1"/>
    <col min="3842" max="3843" width="14.33203125" style="44" customWidth="1"/>
    <col min="3844" max="3844" width="13.6640625" style="44" customWidth="1"/>
    <col min="3845" max="3845" width="13.5546875" style="44" customWidth="1"/>
    <col min="3846" max="3846" width="13.6640625" style="44" customWidth="1"/>
    <col min="3847" max="3847" width="18.6640625" style="44" customWidth="1"/>
    <col min="3848" max="3848" width="12.6640625" style="44" customWidth="1"/>
    <col min="3849" max="3849" width="13.33203125" style="44" customWidth="1"/>
    <col min="3850" max="4096" width="9.33203125" style="44"/>
    <col min="4097" max="4097" width="45.6640625" style="44" customWidth="1"/>
    <col min="4098" max="4099" width="14.33203125" style="44" customWidth="1"/>
    <col min="4100" max="4100" width="13.6640625" style="44" customWidth="1"/>
    <col min="4101" max="4101" width="13.5546875" style="44" customWidth="1"/>
    <col min="4102" max="4102" width="13.6640625" style="44" customWidth="1"/>
    <col min="4103" max="4103" width="18.6640625" style="44" customWidth="1"/>
    <col min="4104" max="4104" width="12.6640625" style="44" customWidth="1"/>
    <col min="4105" max="4105" width="13.33203125" style="44" customWidth="1"/>
    <col min="4106" max="4352" width="9.33203125" style="44"/>
    <col min="4353" max="4353" width="45.6640625" style="44" customWidth="1"/>
    <col min="4354" max="4355" width="14.33203125" style="44" customWidth="1"/>
    <col min="4356" max="4356" width="13.6640625" style="44" customWidth="1"/>
    <col min="4357" max="4357" width="13.5546875" style="44" customWidth="1"/>
    <col min="4358" max="4358" width="13.6640625" style="44" customWidth="1"/>
    <col min="4359" max="4359" width="18.6640625" style="44" customWidth="1"/>
    <col min="4360" max="4360" width="12.6640625" style="44" customWidth="1"/>
    <col min="4361" max="4361" width="13.33203125" style="44" customWidth="1"/>
    <col min="4362" max="4608" width="9.33203125" style="44"/>
    <col min="4609" max="4609" width="45.6640625" style="44" customWidth="1"/>
    <col min="4610" max="4611" width="14.33203125" style="44" customWidth="1"/>
    <col min="4612" max="4612" width="13.6640625" style="44" customWidth="1"/>
    <col min="4613" max="4613" width="13.5546875" style="44" customWidth="1"/>
    <col min="4614" max="4614" width="13.6640625" style="44" customWidth="1"/>
    <col min="4615" max="4615" width="18.6640625" style="44" customWidth="1"/>
    <col min="4616" max="4616" width="12.6640625" style="44" customWidth="1"/>
    <col min="4617" max="4617" width="13.33203125" style="44" customWidth="1"/>
    <col min="4618" max="4864" width="9.33203125" style="44"/>
    <col min="4865" max="4865" width="45.6640625" style="44" customWidth="1"/>
    <col min="4866" max="4867" width="14.33203125" style="44" customWidth="1"/>
    <col min="4868" max="4868" width="13.6640625" style="44" customWidth="1"/>
    <col min="4869" max="4869" width="13.5546875" style="44" customWidth="1"/>
    <col min="4870" max="4870" width="13.6640625" style="44" customWidth="1"/>
    <col min="4871" max="4871" width="18.6640625" style="44" customWidth="1"/>
    <col min="4872" max="4872" width="12.6640625" style="44" customWidth="1"/>
    <col min="4873" max="4873" width="13.33203125" style="44" customWidth="1"/>
    <col min="4874" max="5120" width="9.33203125" style="44"/>
    <col min="5121" max="5121" width="45.6640625" style="44" customWidth="1"/>
    <col min="5122" max="5123" width="14.33203125" style="44" customWidth="1"/>
    <col min="5124" max="5124" width="13.6640625" style="44" customWidth="1"/>
    <col min="5125" max="5125" width="13.5546875" style="44" customWidth="1"/>
    <col min="5126" max="5126" width="13.6640625" style="44" customWidth="1"/>
    <col min="5127" max="5127" width="18.6640625" style="44" customWidth="1"/>
    <col min="5128" max="5128" width="12.6640625" style="44" customWidth="1"/>
    <col min="5129" max="5129" width="13.33203125" style="44" customWidth="1"/>
    <col min="5130" max="5376" width="9.33203125" style="44"/>
    <col min="5377" max="5377" width="45.6640625" style="44" customWidth="1"/>
    <col min="5378" max="5379" width="14.33203125" style="44" customWidth="1"/>
    <col min="5380" max="5380" width="13.6640625" style="44" customWidth="1"/>
    <col min="5381" max="5381" width="13.5546875" style="44" customWidth="1"/>
    <col min="5382" max="5382" width="13.6640625" style="44" customWidth="1"/>
    <col min="5383" max="5383" width="18.6640625" style="44" customWidth="1"/>
    <col min="5384" max="5384" width="12.6640625" style="44" customWidth="1"/>
    <col min="5385" max="5385" width="13.33203125" style="44" customWidth="1"/>
    <col min="5386" max="5632" width="9.33203125" style="44"/>
    <col min="5633" max="5633" width="45.6640625" style="44" customWidth="1"/>
    <col min="5634" max="5635" width="14.33203125" style="44" customWidth="1"/>
    <col min="5636" max="5636" width="13.6640625" style="44" customWidth="1"/>
    <col min="5637" max="5637" width="13.5546875" style="44" customWidth="1"/>
    <col min="5638" max="5638" width="13.6640625" style="44" customWidth="1"/>
    <col min="5639" max="5639" width="18.6640625" style="44" customWidth="1"/>
    <col min="5640" max="5640" width="12.6640625" style="44" customWidth="1"/>
    <col min="5641" max="5641" width="13.33203125" style="44" customWidth="1"/>
    <col min="5642" max="5888" width="9.33203125" style="44"/>
    <col min="5889" max="5889" width="45.6640625" style="44" customWidth="1"/>
    <col min="5890" max="5891" width="14.33203125" style="44" customWidth="1"/>
    <col min="5892" max="5892" width="13.6640625" style="44" customWidth="1"/>
    <col min="5893" max="5893" width="13.5546875" style="44" customWidth="1"/>
    <col min="5894" max="5894" width="13.6640625" style="44" customWidth="1"/>
    <col min="5895" max="5895" width="18.6640625" style="44" customWidth="1"/>
    <col min="5896" max="5896" width="12.6640625" style="44" customWidth="1"/>
    <col min="5897" max="5897" width="13.33203125" style="44" customWidth="1"/>
    <col min="5898" max="6144" width="9.33203125" style="44"/>
    <col min="6145" max="6145" width="45.6640625" style="44" customWidth="1"/>
    <col min="6146" max="6147" width="14.33203125" style="44" customWidth="1"/>
    <col min="6148" max="6148" width="13.6640625" style="44" customWidth="1"/>
    <col min="6149" max="6149" width="13.5546875" style="44" customWidth="1"/>
    <col min="6150" max="6150" width="13.6640625" style="44" customWidth="1"/>
    <col min="6151" max="6151" width="18.6640625" style="44" customWidth="1"/>
    <col min="6152" max="6152" width="12.6640625" style="44" customWidth="1"/>
    <col min="6153" max="6153" width="13.33203125" style="44" customWidth="1"/>
    <col min="6154" max="6400" width="9.33203125" style="44"/>
    <col min="6401" max="6401" width="45.6640625" style="44" customWidth="1"/>
    <col min="6402" max="6403" width="14.33203125" style="44" customWidth="1"/>
    <col min="6404" max="6404" width="13.6640625" style="44" customWidth="1"/>
    <col min="6405" max="6405" width="13.5546875" style="44" customWidth="1"/>
    <col min="6406" max="6406" width="13.6640625" style="44" customWidth="1"/>
    <col min="6407" max="6407" width="18.6640625" style="44" customWidth="1"/>
    <col min="6408" max="6408" width="12.6640625" style="44" customWidth="1"/>
    <col min="6409" max="6409" width="13.33203125" style="44" customWidth="1"/>
    <col min="6410" max="6656" width="9.33203125" style="44"/>
    <col min="6657" max="6657" width="45.6640625" style="44" customWidth="1"/>
    <col min="6658" max="6659" width="14.33203125" style="44" customWidth="1"/>
    <col min="6660" max="6660" width="13.6640625" style="44" customWidth="1"/>
    <col min="6661" max="6661" width="13.5546875" style="44" customWidth="1"/>
    <col min="6662" max="6662" width="13.6640625" style="44" customWidth="1"/>
    <col min="6663" max="6663" width="18.6640625" style="44" customWidth="1"/>
    <col min="6664" max="6664" width="12.6640625" style="44" customWidth="1"/>
    <col min="6665" max="6665" width="13.33203125" style="44" customWidth="1"/>
    <col min="6666" max="6912" width="9.33203125" style="44"/>
    <col min="6913" max="6913" width="45.6640625" style="44" customWidth="1"/>
    <col min="6914" max="6915" width="14.33203125" style="44" customWidth="1"/>
    <col min="6916" max="6916" width="13.6640625" style="44" customWidth="1"/>
    <col min="6917" max="6917" width="13.5546875" style="44" customWidth="1"/>
    <col min="6918" max="6918" width="13.6640625" style="44" customWidth="1"/>
    <col min="6919" max="6919" width="18.6640625" style="44" customWidth="1"/>
    <col min="6920" max="6920" width="12.6640625" style="44" customWidth="1"/>
    <col min="6921" max="6921" width="13.33203125" style="44" customWidth="1"/>
    <col min="6922" max="7168" width="9.33203125" style="44"/>
    <col min="7169" max="7169" width="45.6640625" style="44" customWidth="1"/>
    <col min="7170" max="7171" width="14.33203125" style="44" customWidth="1"/>
    <col min="7172" max="7172" width="13.6640625" style="44" customWidth="1"/>
    <col min="7173" max="7173" width="13.5546875" style="44" customWidth="1"/>
    <col min="7174" max="7174" width="13.6640625" style="44" customWidth="1"/>
    <col min="7175" max="7175" width="18.6640625" style="44" customWidth="1"/>
    <col min="7176" max="7176" width="12.6640625" style="44" customWidth="1"/>
    <col min="7177" max="7177" width="13.33203125" style="44" customWidth="1"/>
    <col min="7178" max="7424" width="9.33203125" style="44"/>
    <col min="7425" max="7425" width="45.6640625" style="44" customWidth="1"/>
    <col min="7426" max="7427" width="14.33203125" style="44" customWidth="1"/>
    <col min="7428" max="7428" width="13.6640625" style="44" customWidth="1"/>
    <col min="7429" max="7429" width="13.5546875" style="44" customWidth="1"/>
    <col min="7430" max="7430" width="13.6640625" style="44" customWidth="1"/>
    <col min="7431" max="7431" width="18.6640625" style="44" customWidth="1"/>
    <col min="7432" max="7432" width="12.6640625" style="44" customWidth="1"/>
    <col min="7433" max="7433" width="13.33203125" style="44" customWidth="1"/>
    <col min="7434" max="7680" width="9.33203125" style="44"/>
    <col min="7681" max="7681" width="45.6640625" style="44" customWidth="1"/>
    <col min="7682" max="7683" width="14.33203125" style="44" customWidth="1"/>
    <col min="7684" max="7684" width="13.6640625" style="44" customWidth="1"/>
    <col min="7685" max="7685" width="13.5546875" style="44" customWidth="1"/>
    <col min="7686" max="7686" width="13.6640625" style="44" customWidth="1"/>
    <col min="7687" max="7687" width="18.6640625" style="44" customWidth="1"/>
    <col min="7688" max="7688" width="12.6640625" style="44" customWidth="1"/>
    <col min="7689" max="7689" width="13.33203125" style="44" customWidth="1"/>
    <col min="7690" max="7936" width="9.33203125" style="44"/>
    <col min="7937" max="7937" width="45.6640625" style="44" customWidth="1"/>
    <col min="7938" max="7939" width="14.33203125" style="44" customWidth="1"/>
    <col min="7940" max="7940" width="13.6640625" style="44" customWidth="1"/>
    <col min="7941" max="7941" width="13.5546875" style="44" customWidth="1"/>
    <col min="7942" max="7942" width="13.6640625" style="44" customWidth="1"/>
    <col min="7943" max="7943" width="18.6640625" style="44" customWidth="1"/>
    <col min="7944" max="7944" width="12.6640625" style="44" customWidth="1"/>
    <col min="7945" max="7945" width="13.33203125" style="44" customWidth="1"/>
    <col min="7946" max="8192" width="9.33203125" style="44"/>
    <col min="8193" max="8193" width="45.6640625" style="44" customWidth="1"/>
    <col min="8194" max="8195" width="14.33203125" style="44" customWidth="1"/>
    <col min="8196" max="8196" width="13.6640625" style="44" customWidth="1"/>
    <col min="8197" max="8197" width="13.5546875" style="44" customWidth="1"/>
    <col min="8198" max="8198" width="13.6640625" style="44" customWidth="1"/>
    <col min="8199" max="8199" width="18.6640625" style="44" customWidth="1"/>
    <col min="8200" max="8200" width="12.6640625" style="44" customWidth="1"/>
    <col min="8201" max="8201" width="13.33203125" style="44" customWidth="1"/>
    <col min="8202" max="8448" width="9.33203125" style="44"/>
    <col min="8449" max="8449" width="45.6640625" style="44" customWidth="1"/>
    <col min="8450" max="8451" width="14.33203125" style="44" customWidth="1"/>
    <col min="8452" max="8452" width="13.6640625" style="44" customWidth="1"/>
    <col min="8453" max="8453" width="13.5546875" style="44" customWidth="1"/>
    <col min="8454" max="8454" width="13.6640625" style="44" customWidth="1"/>
    <col min="8455" max="8455" width="18.6640625" style="44" customWidth="1"/>
    <col min="8456" max="8456" width="12.6640625" style="44" customWidth="1"/>
    <col min="8457" max="8457" width="13.33203125" style="44" customWidth="1"/>
    <col min="8458" max="8704" width="9.33203125" style="44"/>
    <col min="8705" max="8705" width="45.6640625" style="44" customWidth="1"/>
    <col min="8706" max="8707" width="14.33203125" style="44" customWidth="1"/>
    <col min="8708" max="8708" width="13.6640625" style="44" customWidth="1"/>
    <col min="8709" max="8709" width="13.5546875" style="44" customWidth="1"/>
    <col min="8710" max="8710" width="13.6640625" style="44" customWidth="1"/>
    <col min="8711" max="8711" width="18.6640625" style="44" customWidth="1"/>
    <col min="8712" max="8712" width="12.6640625" style="44" customWidth="1"/>
    <col min="8713" max="8713" width="13.33203125" style="44" customWidth="1"/>
    <col min="8714" max="8960" width="9.33203125" style="44"/>
    <col min="8961" max="8961" width="45.6640625" style="44" customWidth="1"/>
    <col min="8962" max="8963" width="14.33203125" style="44" customWidth="1"/>
    <col min="8964" max="8964" width="13.6640625" style="44" customWidth="1"/>
    <col min="8965" max="8965" width="13.5546875" style="44" customWidth="1"/>
    <col min="8966" max="8966" width="13.6640625" style="44" customWidth="1"/>
    <col min="8967" max="8967" width="18.6640625" style="44" customWidth="1"/>
    <col min="8968" max="8968" width="12.6640625" style="44" customWidth="1"/>
    <col min="8969" max="8969" width="13.33203125" style="44" customWidth="1"/>
    <col min="8970" max="9216" width="9.33203125" style="44"/>
    <col min="9217" max="9217" width="45.6640625" style="44" customWidth="1"/>
    <col min="9218" max="9219" width="14.33203125" style="44" customWidth="1"/>
    <col min="9220" max="9220" width="13.6640625" style="44" customWidth="1"/>
    <col min="9221" max="9221" width="13.5546875" style="44" customWidth="1"/>
    <col min="9222" max="9222" width="13.6640625" style="44" customWidth="1"/>
    <col min="9223" max="9223" width="18.6640625" style="44" customWidth="1"/>
    <col min="9224" max="9224" width="12.6640625" style="44" customWidth="1"/>
    <col min="9225" max="9225" width="13.33203125" style="44" customWidth="1"/>
    <col min="9226" max="9472" width="9.33203125" style="44"/>
    <col min="9473" max="9473" width="45.6640625" style="44" customWidth="1"/>
    <col min="9474" max="9475" width="14.33203125" style="44" customWidth="1"/>
    <col min="9476" max="9476" width="13.6640625" style="44" customWidth="1"/>
    <col min="9477" max="9477" width="13.5546875" style="44" customWidth="1"/>
    <col min="9478" max="9478" width="13.6640625" style="44" customWidth="1"/>
    <col min="9479" max="9479" width="18.6640625" style="44" customWidth="1"/>
    <col min="9480" max="9480" width="12.6640625" style="44" customWidth="1"/>
    <col min="9481" max="9481" width="13.33203125" style="44" customWidth="1"/>
    <col min="9482" max="9728" width="9.33203125" style="44"/>
    <col min="9729" max="9729" width="45.6640625" style="44" customWidth="1"/>
    <col min="9730" max="9731" width="14.33203125" style="44" customWidth="1"/>
    <col min="9732" max="9732" width="13.6640625" style="44" customWidth="1"/>
    <col min="9733" max="9733" width="13.5546875" style="44" customWidth="1"/>
    <col min="9734" max="9734" width="13.6640625" style="44" customWidth="1"/>
    <col min="9735" max="9735" width="18.6640625" style="44" customWidth="1"/>
    <col min="9736" max="9736" width="12.6640625" style="44" customWidth="1"/>
    <col min="9737" max="9737" width="13.33203125" style="44" customWidth="1"/>
    <col min="9738" max="9984" width="9.33203125" style="44"/>
    <col min="9985" max="9985" width="45.6640625" style="44" customWidth="1"/>
    <col min="9986" max="9987" width="14.33203125" style="44" customWidth="1"/>
    <col min="9988" max="9988" width="13.6640625" style="44" customWidth="1"/>
    <col min="9989" max="9989" width="13.5546875" style="44" customWidth="1"/>
    <col min="9990" max="9990" width="13.6640625" style="44" customWidth="1"/>
    <col min="9991" max="9991" width="18.6640625" style="44" customWidth="1"/>
    <col min="9992" max="9992" width="12.6640625" style="44" customWidth="1"/>
    <col min="9993" max="9993" width="13.33203125" style="44" customWidth="1"/>
    <col min="9994" max="10240" width="9.33203125" style="44"/>
    <col min="10241" max="10241" width="45.6640625" style="44" customWidth="1"/>
    <col min="10242" max="10243" width="14.33203125" style="44" customWidth="1"/>
    <col min="10244" max="10244" width="13.6640625" style="44" customWidth="1"/>
    <col min="10245" max="10245" width="13.5546875" style="44" customWidth="1"/>
    <col min="10246" max="10246" width="13.6640625" style="44" customWidth="1"/>
    <col min="10247" max="10247" width="18.6640625" style="44" customWidth="1"/>
    <col min="10248" max="10248" width="12.6640625" style="44" customWidth="1"/>
    <col min="10249" max="10249" width="13.33203125" style="44" customWidth="1"/>
    <col min="10250" max="10496" width="9.33203125" style="44"/>
    <col min="10497" max="10497" width="45.6640625" style="44" customWidth="1"/>
    <col min="10498" max="10499" width="14.33203125" style="44" customWidth="1"/>
    <col min="10500" max="10500" width="13.6640625" style="44" customWidth="1"/>
    <col min="10501" max="10501" width="13.5546875" style="44" customWidth="1"/>
    <col min="10502" max="10502" width="13.6640625" style="44" customWidth="1"/>
    <col min="10503" max="10503" width="18.6640625" style="44" customWidth="1"/>
    <col min="10504" max="10504" width="12.6640625" style="44" customWidth="1"/>
    <col min="10505" max="10505" width="13.33203125" style="44" customWidth="1"/>
    <col min="10506" max="10752" width="9.33203125" style="44"/>
    <col min="10753" max="10753" width="45.6640625" style="44" customWidth="1"/>
    <col min="10754" max="10755" width="14.33203125" style="44" customWidth="1"/>
    <col min="10756" max="10756" width="13.6640625" style="44" customWidth="1"/>
    <col min="10757" max="10757" width="13.5546875" style="44" customWidth="1"/>
    <col min="10758" max="10758" width="13.6640625" style="44" customWidth="1"/>
    <col min="10759" max="10759" width="18.6640625" style="44" customWidth="1"/>
    <col min="10760" max="10760" width="12.6640625" style="44" customWidth="1"/>
    <col min="10761" max="10761" width="13.33203125" style="44" customWidth="1"/>
    <col min="10762" max="11008" width="9.33203125" style="44"/>
    <col min="11009" max="11009" width="45.6640625" style="44" customWidth="1"/>
    <col min="11010" max="11011" width="14.33203125" style="44" customWidth="1"/>
    <col min="11012" max="11012" width="13.6640625" style="44" customWidth="1"/>
    <col min="11013" max="11013" width="13.5546875" style="44" customWidth="1"/>
    <col min="11014" max="11014" width="13.6640625" style="44" customWidth="1"/>
    <col min="11015" max="11015" width="18.6640625" style="44" customWidth="1"/>
    <col min="11016" max="11016" width="12.6640625" style="44" customWidth="1"/>
    <col min="11017" max="11017" width="13.33203125" style="44" customWidth="1"/>
    <col min="11018" max="11264" width="9.33203125" style="44"/>
    <col min="11265" max="11265" width="45.6640625" style="44" customWidth="1"/>
    <col min="11266" max="11267" width="14.33203125" style="44" customWidth="1"/>
    <col min="11268" max="11268" width="13.6640625" style="44" customWidth="1"/>
    <col min="11269" max="11269" width="13.5546875" style="44" customWidth="1"/>
    <col min="11270" max="11270" width="13.6640625" style="44" customWidth="1"/>
    <col min="11271" max="11271" width="18.6640625" style="44" customWidth="1"/>
    <col min="11272" max="11272" width="12.6640625" style="44" customWidth="1"/>
    <col min="11273" max="11273" width="13.33203125" style="44" customWidth="1"/>
    <col min="11274" max="11520" width="9.33203125" style="44"/>
    <col min="11521" max="11521" width="45.6640625" style="44" customWidth="1"/>
    <col min="11522" max="11523" width="14.33203125" style="44" customWidth="1"/>
    <col min="11524" max="11524" width="13.6640625" style="44" customWidth="1"/>
    <col min="11525" max="11525" width="13.5546875" style="44" customWidth="1"/>
    <col min="11526" max="11526" width="13.6640625" style="44" customWidth="1"/>
    <col min="11527" max="11527" width="18.6640625" style="44" customWidth="1"/>
    <col min="11528" max="11528" width="12.6640625" style="44" customWidth="1"/>
    <col min="11529" max="11529" width="13.33203125" style="44" customWidth="1"/>
    <col min="11530" max="11776" width="9.33203125" style="44"/>
    <col min="11777" max="11777" width="45.6640625" style="44" customWidth="1"/>
    <col min="11778" max="11779" width="14.33203125" style="44" customWidth="1"/>
    <col min="11780" max="11780" width="13.6640625" style="44" customWidth="1"/>
    <col min="11781" max="11781" width="13.5546875" style="44" customWidth="1"/>
    <col min="11782" max="11782" width="13.6640625" style="44" customWidth="1"/>
    <col min="11783" max="11783" width="18.6640625" style="44" customWidth="1"/>
    <col min="11784" max="11784" width="12.6640625" style="44" customWidth="1"/>
    <col min="11785" max="11785" width="13.33203125" style="44" customWidth="1"/>
    <col min="11786" max="12032" width="9.33203125" style="44"/>
    <col min="12033" max="12033" width="45.6640625" style="44" customWidth="1"/>
    <col min="12034" max="12035" width="14.33203125" style="44" customWidth="1"/>
    <col min="12036" max="12036" width="13.6640625" style="44" customWidth="1"/>
    <col min="12037" max="12037" width="13.5546875" style="44" customWidth="1"/>
    <col min="12038" max="12038" width="13.6640625" style="44" customWidth="1"/>
    <col min="12039" max="12039" width="18.6640625" style="44" customWidth="1"/>
    <col min="12040" max="12040" width="12.6640625" style="44" customWidth="1"/>
    <col min="12041" max="12041" width="13.33203125" style="44" customWidth="1"/>
    <col min="12042" max="12288" width="9.33203125" style="44"/>
    <col min="12289" max="12289" width="45.6640625" style="44" customWidth="1"/>
    <col min="12290" max="12291" width="14.33203125" style="44" customWidth="1"/>
    <col min="12292" max="12292" width="13.6640625" style="44" customWidth="1"/>
    <col min="12293" max="12293" width="13.5546875" style="44" customWidth="1"/>
    <col min="12294" max="12294" width="13.6640625" style="44" customWidth="1"/>
    <col min="12295" max="12295" width="18.6640625" style="44" customWidth="1"/>
    <col min="12296" max="12296" width="12.6640625" style="44" customWidth="1"/>
    <col min="12297" max="12297" width="13.33203125" style="44" customWidth="1"/>
    <col min="12298" max="12544" width="9.33203125" style="44"/>
    <col min="12545" max="12545" width="45.6640625" style="44" customWidth="1"/>
    <col min="12546" max="12547" width="14.33203125" style="44" customWidth="1"/>
    <col min="12548" max="12548" width="13.6640625" style="44" customWidth="1"/>
    <col min="12549" max="12549" width="13.5546875" style="44" customWidth="1"/>
    <col min="12550" max="12550" width="13.6640625" style="44" customWidth="1"/>
    <col min="12551" max="12551" width="18.6640625" style="44" customWidth="1"/>
    <col min="12552" max="12552" width="12.6640625" style="44" customWidth="1"/>
    <col min="12553" max="12553" width="13.33203125" style="44" customWidth="1"/>
    <col min="12554" max="12800" width="9.33203125" style="44"/>
    <col min="12801" max="12801" width="45.6640625" style="44" customWidth="1"/>
    <col min="12802" max="12803" width="14.33203125" style="44" customWidth="1"/>
    <col min="12804" max="12804" width="13.6640625" style="44" customWidth="1"/>
    <col min="12805" max="12805" width="13.5546875" style="44" customWidth="1"/>
    <col min="12806" max="12806" width="13.6640625" style="44" customWidth="1"/>
    <col min="12807" max="12807" width="18.6640625" style="44" customWidth="1"/>
    <col min="12808" max="12808" width="12.6640625" style="44" customWidth="1"/>
    <col min="12809" max="12809" width="13.33203125" style="44" customWidth="1"/>
    <col min="12810" max="13056" width="9.33203125" style="44"/>
    <col min="13057" max="13057" width="45.6640625" style="44" customWidth="1"/>
    <col min="13058" max="13059" width="14.33203125" style="44" customWidth="1"/>
    <col min="13060" max="13060" width="13.6640625" style="44" customWidth="1"/>
    <col min="13061" max="13061" width="13.5546875" style="44" customWidth="1"/>
    <col min="13062" max="13062" width="13.6640625" style="44" customWidth="1"/>
    <col min="13063" max="13063" width="18.6640625" style="44" customWidth="1"/>
    <col min="13064" max="13064" width="12.6640625" style="44" customWidth="1"/>
    <col min="13065" max="13065" width="13.33203125" style="44" customWidth="1"/>
    <col min="13066" max="13312" width="9.33203125" style="44"/>
    <col min="13313" max="13313" width="45.6640625" style="44" customWidth="1"/>
    <col min="13314" max="13315" width="14.33203125" style="44" customWidth="1"/>
    <col min="13316" max="13316" width="13.6640625" style="44" customWidth="1"/>
    <col min="13317" max="13317" width="13.5546875" style="44" customWidth="1"/>
    <col min="13318" max="13318" width="13.6640625" style="44" customWidth="1"/>
    <col min="13319" max="13319" width="18.6640625" style="44" customWidth="1"/>
    <col min="13320" max="13320" width="12.6640625" style="44" customWidth="1"/>
    <col min="13321" max="13321" width="13.33203125" style="44" customWidth="1"/>
    <col min="13322" max="13568" width="9.33203125" style="44"/>
    <col min="13569" max="13569" width="45.6640625" style="44" customWidth="1"/>
    <col min="13570" max="13571" width="14.33203125" style="44" customWidth="1"/>
    <col min="13572" max="13572" width="13.6640625" style="44" customWidth="1"/>
    <col min="13573" max="13573" width="13.5546875" style="44" customWidth="1"/>
    <col min="13574" max="13574" width="13.6640625" style="44" customWidth="1"/>
    <col min="13575" max="13575" width="18.6640625" style="44" customWidth="1"/>
    <col min="13576" max="13576" width="12.6640625" style="44" customWidth="1"/>
    <col min="13577" max="13577" width="13.33203125" style="44" customWidth="1"/>
    <col min="13578" max="13824" width="9.33203125" style="44"/>
    <col min="13825" max="13825" width="45.6640625" style="44" customWidth="1"/>
    <col min="13826" max="13827" width="14.33203125" style="44" customWidth="1"/>
    <col min="13828" max="13828" width="13.6640625" style="44" customWidth="1"/>
    <col min="13829" max="13829" width="13.5546875" style="44" customWidth="1"/>
    <col min="13830" max="13830" width="13.6640625" style="44" customWidth="1"/>
    <col min="13831" max="13831" width="18.6640625" style="44" customWidth="1"/>
    <col min="13832" max="13832" width="12.6640625" style="44" customWidth="1"/>
    <col min="13833" max="13833" width="13.33203125" style="44" customWidth="1"/>
    <col min="13834" max="14080" width="9.33203125" style="44"/>
    <col min="14081" max="14081" width="45.6640625" style="44" customWidth="1"/>
    <col min="14082" max="14083" width="14.33203125" style="44" customWidth="1"/>
    <col min="14084" max="14084" width="13.6640625" style="44" customWidth="1"/>
    <col min="14085" max="14085" width="13.5546875" style="44" customWidth="1"/>
    <col min="14086" max="14086" width="13.6640625" style="44" customWidth="1"/>
    <col min="14087" max="14087" width="18.6640625" style="44" customWidth="1"/>
    <col min="14088" max="14088" width="12.6640625" style="44" customWidth="1"/>
    <col min="14089" max="14089" width="13.33203125" style="44" customWidth="1"/>
    <col min="14090" max="14336" width="9.33203125" style="44"/>
    <col min="14337" max="14337" width="45.6640625" style="44" customWidth="1"/>
    <col min="14338" max="14339" width="14.33203125" style="44" customWidth="1"/>
    <col min="14340" max="14340" width="13.6640625" style="44" customWidth="1"/>
    <col min="14341" max="14341" width="13.5546875" style="44" customWidth="1"/>
    <col min="14342" max="14342" width="13.6640625" style="44" customWidth="1"/>
    <col min="14343" max="14343" width="18.6640625" style="44" customWidth="1"/>
    <col min="14344" max="14344" width="12.6640625" style="44" customWidth="1"/>
    <col min="14345" max="14345" width="13.33203125" style="44" customWidth="1"/>
    <col min="14346" max="14592" width="9.33203125" style="44"/>
    <col min="14593" max="14593" width="45.6640625" style="44" customWidth="1"/>
    <col min="14594" max="14595" width="14.33203125" style="44" customWidth="1"/>
    <col min="14596" max="14596" width="13.6640625" style="44" customWidth="1"/>
    <col min="14597" max="14597" width="13.5546875" style="44" customWidth="1"/>
    <col min="14598" max="14598" width="13.6640625" style="44" customWidth="1"/>
    <col min="14599" max="14599" width="18.6640625" style="44" customWidth="1"/>
    <col min="14600" max="14600" width="12.6640625" style="44" customWidth="1"/>
    <col min="14601" max="14601" width="13.33203125" style="44" customWidth="1"/>
    <col min="14602" max="14848" width="9.33203125" style="44"/>
    <col min="14849" max="14849" width="45.6640625" style="44" customWidth="1"/>
    <col min="14850" max="14851" width="14.33203125" style="44" customWidth="1"/>
    <col min="14852" max="14852" width="13.6640625" style="44" customWidth="1"/>
    <col min="14853" max="14853" width="13.5546875" style="44" customWidth="1"/>
    <col min="14854" max="14854" width="13.6640625" style="44" customWidth="1"/>
    <col min="14855" max="14855" width="18.6640625" style="44" customWidth="1"/>
    <col min="14856" max="14856" width="12.6640625" style="44" customWidth="1"/>
    <col min="14857" max="14857" width="13.33203125" style="44" customWidth="1"/>
    <col min="14858" max="15104" width="9.33203125" style="44"/>
    <col min="15105" max="15105" width="45.6640625" style="44" customWidth="1"/>
    <col min="15106" max="15107" width="14.33203125" style="44" customWidth="1"/>
    <col min="15108" max="15108" width="13.6640625" style="44" customWidth="1"/>
    <col min="15109" max="15109" width="13.5546875" style="44" customWidth="1"/>
    <col min="15110" max="15110" width="13.6640625" style="44" customWidth="1"/>
    <col min="15111" max="15111" width="18.6640625" style="44" customWidth="1"/>
    <col min="15112" max="15112" width="12.6640625" style="44" customWidth="1"/>
    <col min="15113" max="15113" width="13.33203125" style="44" customWidth="1"/>
    <col min="15114" max="15360" width="9.33203125" style="44"/>
    <col min="15361" max="15361" width="45.6640625" style="44" customWidth="1"/>
    <col min="15362" max="15363" width="14.33203125" style="44" customWidth="1"/>
    <col min="15364" max="15364" width="13.6640625" style="44" customWidth="1"/>
    <col min="15365" max="15365" width="13.5546875" style="44" customWidth="1"/>
    <col min="15366" max="15366" width="13.6640625" style="44" customWidth="1"/>
    <col min="15367" max="15367" width="18.6640625" style="44" customWidth="1"/>
    <col min="15368" max="15368" width="12.6640625" style="44" customWidth="1"/>
    <col min="15369" max="15369" width="13.33203125" style="44" customWidth="1"/>
    <col min="15370" max="15616" width="9.33203125" style="44"/>
    <col min="15617" max="15617" width="45.6640625" style="44" customWidth="1"/>
    <col min="15618" max="15619" width="14.33203125" style="44" customWidth="1"/>
    <col min="15620" max="15620" width="13.6640625" style="44" customWidth="1"/>
    <col min="15621" max="15621" width="13.5546875" style="44" customWidth="1"/>
    <col min="15622" max="15622" width="13.6640625" style="44" customWidth="1"/>
    <col min="15623" max="15623" width="18.6640625" style="44" customWidth="1"/>
    <col min="15624" max="15624" width="12.6640625" style="44" customWidth="1"/>
    <col min="15625" max="15625" width="13.33203125" style="44" customWidth="1"/>
    <col min="15626" max="15872" width="9.33203125" style="44"/>
    <col min="15873" max="15873" width="45.6640625" style="44" customWidth="1"/>
    <col min="15874" max="15875" width="14.33203125" style="44" customWidth="1"/>
    <col min="15876" max="15876" width="13.6640625" style="44" customWidth="1"/>
    <col min="15877" max="15877" width="13.5546875" style="44" customWidth="1"/>
    <col min="15878" max="15878" width="13.6640625" style="44" customWidth="1"/>
    <col min="15879" max="15879" width="18.6640625" style="44" customWidth="1"/>
    <col min="15880" max="15880" width="12.6640625" style="44" customWidth="1"/>
    <col min="15881" max="15881" width="13.33203125" style="44" customWidth="1"/>
    <col min="15882" max="16128" width="9.33203125" style="44"/>
    <col min="16129" max="16129" width="45.6640625" style="44" customWidth="1"/>
    <col min="16130" max="16131" width="14.33203125" style="44" customWidth="1"/>
    <col min="16132" max="16132" width="13.6640625" style="44" customWidth="1"/>
    <col min="16133" max="16133" width="13.5546875" style="44" customWidth="1"/>
    <col min="16134" max="16134" width="13.6640625" style="44" customWidth="1"/>
    <col min="16135" max="16135" width="18.6640625" style="44" customWidth="1"/>
    <col min="16136" max="16136" width="12.6640625" style="44" customWidth="1"/>
    <col min="16137" max="16137" width="13.33203125" style="44" customWidth="1"/>
    <col min="16138" max="16384" width="9.33203125" style="44"/>
  </cols>
  <sheetData>
    <row r="1" spans="1:9">
      <c r="A1" s="172"/>
    </row>
    <row r="2" spans="1:9" ht="13.2">
      <c r="A2" s="381" t="s">
        <v>837</v>
      </c>
    </row>
    <row r="3" spans="1:9">
      <c r="A3" s="172"/>
    </row>
    <row r="4" spans="1:9">
      <c r="A4" s="53" t="s">
        <v>1018</v>
      </c>
      <c r="F4" s="671" t="s">
        <v>1019</v>
      </c>
    </row>
    <row r="5" spans="1:9">
      <c r="A5" s="53"/>
    </row>
    <row r="6" spans="1:9" ht="51">
      <c r="A6" s="70" t="s">
        <v>144</v>
      </c>
      <c r="B6" s="70" t="s">
        <v>722</v>
      </c>
      <c r="C6" s="70" t="s">
        <v>723</v>
      </c>
      <c r="D6" s="70" t="s">
        <v>459</v>
      </c>
      <c r="E6" s="70" t="s">
        <v>460</v>
      </c>
      <c r="F6" s="70" t="s">
        <v>461</v>
      </c>
      <c r="G6" s="70" t="s">
        <v>720</v>
      </c>
      <c r="H6" s="133"/>
      <c r="I6" s="133"/>
    </row>
    <row r="7" spans="1:9">
      <c r="A7" s="110" t="s">
        <v>698</v>
      </c>
      <c r="B7" s="108"/>
      <c r="C7" s="75"/>
      <c r="D7" s="75">
        <f>B7+C7</f>
        <v>0</v>
      </c>
      <c r="E7" s="108"/>
      <c r="F7" s="108"/>
      <c r="G7" s="379"/>
    </row>
    <row r="8" spans="1:9">
      <c r="A8" s="113"/>
    </row>
    <row r="9" spans="1:9">
      <c r="A9" s="113"/>
    </row>
    <row r="10" spans="1:9" ht="20.399999999999999">
      <c r="A10" s="70" t="s">
        <v>58</v>
      </c>
      <c r="B10" s="70" t="s">
        <v>312</v>
      </c>
      <c r="C10" s="70" t="s">
        <v>313</v>
      </c>
      <c r="D10" s="70" t="s">
        <v>462</v>
      </c>
      <c r="E10" s="70" t="s">
        <v>463</v>
      </c>
      <c r="F10" s="70" t="s">
        <v>464</v>
      </c>
      <c r="G10" s="70" t="s">
        <v>465</v>
      </c>
      <c r="H10" s="70" t="s">
        <v>466</v>
      </c>
      <c r="I10" s="70" t="s">
        <v>467</v>
      </c>
    </row>
    <row r="11" spans="1:9">
      <c r="A11" s="163">
        <f>B11+C11+D11</f>
        <v>0</v>
      </c>
      <c r="B11" s="75"/>
      <c r="C11" s="75"/>
      <c r="D11" s="75"/>
      <c r="E11" s="75">
        <f>F11+G11</f>
        <v>0</v>
      </c>
      <c r="F11" s="75"/>
      <c r="G11" s="75"/>
      <c r="H11" s="163"/>
      <c r="I11" s="163"/>
    </row>
    <row r="12" spans="1:9">
      <c r="B12" s="33"/>
      <c r="C12" s="33"/>
    </row>
    <row r="13" spans="1:9">
      <c r="B13" s="33"/>
      <c r="C13" s="33"/>
    </row>
    <row r="14" spans="1:9">
      <c r="A14" s="53" t="s">
        <v>859</v>
      </c>
    </row>
    <row r="15" spans="1:9">
      <c r="A15" s="53"/>
    </row>
    <row r="16" spans="1:9" ht="51">
      <c r="A16" s="70" t="s">
        <v>144</v>
      </c>
      <c r="B16" s="70" t="s">
        <v>722</v>
      </c>
      <c r="C16" s="70" t="s">
        <v>723</v>
      </c>
      <c r="D16" s="70" t="s">
        <v>459</v>
      </c>
      <c r="E16" s="70" t="s">
        <v>460</v>
      </c>
      <c r="F16" s="70" t="s">
        <v>461</v>
      </c>
      <c r="G16" s="70" t="s">
        <v>720</v>
      </c>
      <c r="H16" s="133"/>
      <c r="I16" s="133"/>
    </row>
    <row r="17" spans="1:9">
      <c r="A17" s="110" t="s">
        <v>698</v>
      </c>
      <c r="B17" s="108">
        <v>533333</v>
      </c>
      <c r="C17" s="75">
        <f>-533333</f>
        <v>-533333</v>
      </c>
      <c r="D17" s="75">
        <f>B17+C17</f>
        <v>0</v>
      </c>
      <c r="E17" s="108">
        <v>40</v>
      </c>
      <c r="F17" s="108">
        <v>40</v>
      </c>
      <c r="G17" s="379" t="s">
        <v>721</v>
      </c>
    </row>
    <row r="18" spans="1:9">
      <c r="A18" s="113"/>
    </row>
    <row r="19" spans="1:9">
      <c r="A19" s="113"/>
    </row>
    <row r="20" spans="1:9" ht="20.399999999999999">
      <c r="A20" s="70" t="s">
        <v>58</v>
      </c>
      <c r="B20" s="70" t="s">
        <v>312</v>
      </c>
      <c r="C20" s="70" t="s">
        <v>313</v>
      </c>
      <c r="D20" s="70" t="s">
        <v>462</v>
      </c>
      <c r="E20" s="70" t="s">
        <v>463</v>
      </c>
      <c r="F20" s="70" t="s">
        <v>464</v>
      </c>
      <c r="G20" s="70" t="s">
        <v>465</v>
      </c>
      <c r="H20" s="70" t="s">
        <v>466</v>
      </c>
      <c r="I20" s="70" t="s">
        <v>467</v>
      </c>
    </row>
    <row r="21" spans="1:9">
      <c r="A21" s="163">
        <f>B21+C21+D21</f>
        <v>41007</v>
      </c>
      <c r="B21" s="75">
        <v>150000</v>
      </c>
      <c r="C21" s="75">
        <v>96339</v>
      </c>
      <c r="D21" s="75">
        <v>-205332</v>
      </c>
      <c r="E21" s="75">
        <f>F21+G21</f>
        <v>833975</v>
      </c>
      <c r="F21" s="75">
        <v>205012</v>
      </c>
      <c r="G21" s="75">
        <v>628963</v>
      </c>
      <c r="H21" s="163">
        <v>792968</v>
      </c>
      <c r="I21" s="163">
        <v>1926476</v>
      </c>
    </row>
    <row r="22" spans="1:9">
      <c r="B22" s="33"/>
      <c r="C22" s="33"/>
    </row>
    <row r="23" spans="1:9">
      <c r="B23" s="33"/>
      <c r="C23" s="33"/>
    </row>
    <row r="24" spans="1:9">
      <c r="A24" s="44" t="s">
        <v>719</v>
      </c>
      <c r="B24" s="33"/>
      <c r="C24" s="33"/>
    </row>
    <row r="25" spans="1:9">
      <c r="A25" s="44" t="s">
        <v>887</v>
      </c>
      <c r="B25" s="33"/>
      <c r="C25" s="33"/>
    </row>
    <row r="26" spans="1:9">
      <c r="B26" s="33"/>
      <c r="C26" s="33"/>
    </row>
    <row r="27" spans="1:9">
      <c r="A27" s="172"/>
    </row>
    <row r="28" spans="1:9" ht="13.2">
      <c r="A28" s="381" t="s">
        <v>838</v>
      </c>
      <c r="B28" s="381"/>
      <c r="C28" s="381"/>
      <c r="D28" s="381"/>
      <c r="E28" s="381"/>
      <c r="F28" s="381"/>
    </row>
    <row r="29" spans="1:9">
      <c r="B29" s="699"/>
      <c r="C29" s="699"/>
    </row>
    <row r="30" spans="1:9">
      <c r="B30" s="33"/>
      <c r="C30" s="33"/>
    </row>
    <row r="31" spans="1:9">
      <c r="B31" s="33"/>
      <c r="C31" s="33"/>
    </row>
    <row r="32" spans="1:9">
      <c r="A32" s="112" t="s">
        <v>163</v>
      </c>
      <c r="B32" s="416">
        <v>44926</v>
      </c>
      <c r="C32" s="416">
        <v>44561</v>
      </c>
    </row>
    <row r="33" spans="1:9" ht="20.399999999999999">
      <c r="A33" s="54" t="s">
        <v>161</v>
      </c>
      <c r="B33" s="200">
        <v>0</v>
      </c>
      <c r="C33" s="200">
        <v>0</v>
      </c>
    </row>
    <row r="34" spans="1:9">
      <c r="A34" s="54" t="s">
        <v>162</v>
      </c>
      <c r="B34" s="200">
        <v>0</v>
      </c>
      <c r="C34" s="200">
        <v>0</v>
      </c>
    </row>
    <row r="35" spans="1:9">
      <c r="A35" s="52" t="s">
        <v>25</v>
      </c>
      <c r="B35" s="88">
        <f>SUM(B33:B34)</f>
        <v>0</v>
      </c>
      <c r="C35" s="88">
        <f>SUM(C33:C34)</f>
        <v>0</v>
      </c>
    </row>
    <row r="36" spans="1:9">
      <c r="B36" s="301">
        <f>Aktywa!D10-B35</f>
        <v>0</v>
      </c>
      <c r="C36" s="301">
        <f>Aktywa!E10-C35</f>
        <v>0</v>
      </c>
    </row>
    <row r="38" spans="1:9">
      <c r="A38" s="53" t="s">
        <v>1020</v>
      </c>
    </row>
    <row r="39" spans="1:9">
      <c r="A39" s="53"/>
    </row>
    <row r="40" spans="1:9" ht="41.25" customHeight="1">
      <c r="A40" s="70" t="s">
        <v>144</v>
      </c>
      <c r="B40" s="70" t="s">
        <v>457</v>
      </c>
      <c r="C40" s="70" t="s">
        <v>458</v>
      </c>
      <c r="D40" s="70" t="s">
        <v>459</v>
      </c>
      <c r="E40" s="70" t="s">
        <v>460</v>
      </c>
      <c r="F40" s="70" t="s">
        <v>461</v>
      </c>
      <c r="G40" s="70" t="s">
        <v>164</v>
      </c>
      <c r="H40" s="133"/>
      <c r="I40" s="133"/>
    </row>
    <row r="41" spans="1:9">
      <c r="A41" s="110" t="s">
        <v>559</v>
      </c>
      <c r="B41" s="495">
        <v>5000</v>
      </c>
      <c r="C41" s="495">
        <v>-5000</v>
      </c>
      <c r="D41" s="495">
        <f t="shared" ref="D41" si="0">B41+C41</f>
        <v>0</v>
      </c>
      <c r="E41" s="108">
        <v>50</v>
      </c>
      <c r="F41" s="108">
        <v>50</v>
      </c>
      <c r="G41" s="108" t="s">
        <v>546</v>
      </c>
    </row>
    <row r="42" spans="1:9" hidden="1">
      <c r="A42" s="110"/>
      <c r="B42" s="163"/>
      <c r="C42" s="75"/>
      <c r="D42" s="75"/>
      <c r="E42" s="108"/>
      <c r="F42" s="108"/>
      <c r="G42" s="108"/>
    </row>
    <row r="43" spans="1:9" s="51" customFormat="1">
      <c r="A43" s="329" t="s">
        <v>474</v>
      </c>
      <c r="B43" s="147">
        <f>SUM(B41:B42)</f>
        <v>5000</v>
      </c>
      <c r="C43" s="147">
        <f>SUM(C41:C42)</f>
        <v>-5000</v>
      </c>
      <c r="D43" s="147">
        <f>SUM(D41:D42)</f>
        <v>0</v>
      </c>
      <c r="E43" s="147"/>
      <c r="F43" s="147"/>
      <c r="G43" s="330"/>
    </row>
    <row r="44" spans="1:9">
      <c r="A44" s="113"/>
      <c r="D44" s="301">
        <f>Aktywa!D10</f>
        <v>0</v>
      </c>
    </row>
    <row r="45" spans="1:9">
      <c r="A45" s="113"/>
    </row>
    <row r="46" spans="1:9" ht="20.399999999999999">
      <c r="A46" s="70" t="s">
        <v>58</v>
      </c>
      <c r="B46" s="70" t="s">
        <v>312</v>
      </c>
      <c r="C46" s="70" t="s">
        <v>313</v>
      </c>
      <c r="D46" s="70" t="s">
        <v>462</v>
      </c>
      <c r="E46" s="70" t="s">
        <v>463</v>
      </c>
      <c r="F46" s="70" t="s">
        <v>464</v>
      </c>
      <c r="G46" s="70" t="s">
        <v>465</v>
      </c>
      <c r="H46" s="70" t="s">
        <v>466</v>
      </c>
      <c r="I46" s="70" t="s">
        <v>467</v>
      </c>
    </row>
    <row r="47" spans="1:9">
      <c r="A47" s="495">
        <f t="shared" ref="A47" si="1">SUM(B47:D47)</f>
        <v>-522</v>
      </c>
      <c r="B47" s="617">
        <v>10000</v>
      </c>
      <c r="C47" s="617">
        <v>-15888</v>
      </c>
      <c r="D47" s="617">
        <v>5366</v>
      </c>
      <c r="E47" s="617">
        <f t="shared" ref="E47" si="2">F47+G47</f>
        <v>1316</v>
      </c>
      <c r="F47" s="617">
        <v>512</v>
      </c>
      <c r="G47" s="617">
        <v>804</v>
      </c>
      <c r="H47" s="617">
        <v>1838</v>
      </c>
      <c r="I47" s="617">
        <v>0</v>
      </c>
    </row>
    <row r="48" spans="1:9" hidden="1">
      <c r="A48" s="75"/>
      <c r="B48" s="75"/>
      <c r="C48" s="75"/>
      <c r="D48" s="75"/>
      <c r="E48" s="75"/>
      <c r="F48" s="75"/>
      <c r="G48" s="75"/>
      <c r="H48" s="163"/>
      <c r="I48" s="163"/>
    </row>
    <row r="49" spans="1:9">
      <c r="A49" s="113"/>
    </row>
    <row r="50" spans="1:9">
      <c r="A50" s="53" t="s">
        <v>888</v>
      </c>
    </row>
    <row r="51" spans="1:9">
      <c r="A51" s="53"/>
    </row>
    <row r="52" spans="1:9" ht="30.6">
      <c r="A52" s="70" t="s">
        <v>144</v>
      </c>
      <c r="B52" s="70" t="s">
        <v>457</v>
      </c>
      <c r="C52" s="70" t="s">
        <v>458</v>
      </c>
      <c r="D52" s="70" t="s">
        <v>459</v>
      </c>
      <c r="E52" s="70" t="s">
        <v>460</v>
      </c>
      <c r="F52" s="70" t="s">
        <v>461</v>
      </c>
      <c r="G52" s="70" t="s">
        <v>164</v>
      </c>
      <c r="H52" s="133"/>
      <c r="I52" s="133"/>
    </row>
    <row r="53" spans="1:9">
      <c r="A53" s="110" t="s">
        <v>597</v>
      </c>
      <c r="B53" s="163">
        <v>105075</v>
      </c>
      <c r="C53" s="75">
        <v>-105075</v>
      </c>
      <c r="D53" s="75">
        <f>B53+C53</f>
        <v>0</v>
      </c>
      <c r="E53" s="108">
        <v>100</v>
      </c>
      <c r="F53" s="108">
        <v>100</v>
      </c>
      <c r="G53" s="108" t="s">
        <v>546</v>
      </c>
      <c r="H53" s="133"/>
      <c r="I53" s="133"/>
    </row>
    <row r="54" spans="1:9">
      <c r="A54" s="110" t="s">
        <v>559</v>
      </c>
      <c r="B54" s="163">
        <v>5000</v>
      </c>
      <c r="C54" s="75">
        <v>-5000</v>
      </c>
      <c r="D54" s="75">
        <f>B54+C54</f>
        <v>0</v>
      </c>
      <c r="E54" s="108">
        <v>50</v>
      </c>
      <c r="F54" s="108">
        <v>50</v>
      </c>
      <c r="G54" s="108" t="s">
        <v>546</v>
      </c>
    </row>
    <row r="55" spans="1:9">
      <c r="A55" s="329" t="s">
        <v>474</v>
      </c>
      <c r="B55" s="147">
        <f>SUM(B53:B54)</f>
        <v>110075</v>
      </c>
      <c r="C55" s="147">
        <f>SUM(C53:C54)</f>
        <v>-110075</v>
      </c>
      <c r="D55" s="147">
        <f>SUM(D53:D54)</f>
        <v>0</v>
      </c>
      <c r="E55" s="147"/>
      <c r="F55" s="147"/>
      <c r="G55" s="330"/>
    </row>
    <row r="56" spans="1:9">
      <c r="A56" s="113"/>
      <c r="B56" s="355"/>
      <c r="C56" s="355"/>
      <c r="D56" s="301"/>
      <c r="E56" s="355"/>
      <c r="F56" s="355"/>
    </row>
    <row r="57" spans="1:9">
      <c r="A57" s="113"/>
    </row>
    <row r="58" spans="1:9" ht="20.399999999999999">
      <c r="A58" s="70" t="s">
        <v>58</v>
      </c>
      <c r="B58" s="70" t="s">
        <v>312</v>
      </c>
      <c r="C58" s="70" t="s">
        <v>313</v>
      </c>
      <c r="D58" s="70" t="s">
        <v>462</v>
      </c>
      <c r="E58" s="70" t="s">
        <v>463</v>
      </c>
      <c r="F58" s="70" t="s">
        <v>464</v>
      </c>
      <c r="G58" s="70" t="s">
        <v>465</v>
      </c>
      <c r="H58" s="70" t="s">
        <v>466</v>
      </c>
      <c r="I58" s="70" t="s">
        <v>467</v>
      </c>
    </row>
    <row r="59" spans="1:9">
      <c r="A59" s="495">
        <f t="shared" ref="A59:A60" si="3">SUM(B59:D59)</f>
        <v>-289969</v>
      </c>
      <c r="B59" s="495">
        <v>115370</v>
      </c>
      <c r="C59" s="495">
        <v>-405339</v>
      </c>
      <c r="D59" s="495">
        <v>0</v>
      </c>
      <c r="E59" s="495">
        <f t="shared" ref="E59:E60" si="4">F59+G59</f>
        <v>456</v>
      </c>
      <c r="F59" s="495">
        <v>0</v>
      </c>
      <c r="G59" s="495">
        <v>456</v>
      </c>
      <c r="H59" s="495">
        <v>290425</v>
      </c>
      <c r="I59" s="495">
        <v>0</v>
      </c>
    </row>
    <row r="60" spans="1:9">
      <c r="A60" s="495">
        <f t="shared" si="3"/>
        <v>-5888</v>
      </c>
      <c r="B60" s="495">
        <v>10000</v>
      </c>
      <c r="C60" s="495">
        <v>-21776</v>
      </c>
      <c r="D60" s="495">
        <v>5888</v>
      </c>
      <c r="E60" s="495">
        <f t="shared" si="4"/>
        <v>11428</v>
      </c>
      <c r="F60" s="495">
        <v>1160</v>
      </c>
      <c r="G60" s="495">
        <v>10268</v>
      </c>
      <c r="H60" s="495">
        <v>17316</v>
      </c>
      <c r="I60" s="495">
        <v>0</v>
      </c>
    </row>
    <row r="61" spans="1:9" hidden="1">
      <c r="A61" s="75">
        <v>-41437</v>
      </c>
      <c r="B61" s="75">
        <v>5100</v>
      </c>
      <c r="C61" s="75">
        <v>47467</v>
      </c>
      <c r="D61" s="75">
        <v>-94004</v>
      </c>
      <c r="E61" s="75">
        <v>285878</v>
      </c>
      <c r="F61" s="75">
        <v>6357</v>
      </c>
      <c r="G61" s="75">
        <v>279521</v>
      </c>
      <c r="H61" s="163">
        <f>250929+76386</f>
        <v>327315</v>
      </c>
      <c r="I61" s="163">
        <v>308696</v>
      </c>
    </row>
    <row r="62" spans="1:9">
      <c r="A62" s="113"/>
    </row>
  </sheetData>
  <mergeCells count="1">
    <mergeCell ref="B29:C29"/>
  </mergeCells>
  <phoneticPr fontId="37" type="noConversion"/>
  <pageMargins left="0.75" right="0.75" top="1" bottom="1" header="0.5" footer="0.5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tabSelected="1" zoomScaleNormal="100" zoomScaleSheetLayoutView="90" workbookViewId="0">
      <selection sqref="A1:C1"/>
    </sheetView>
  </sheetViews>
  <sheetFormatPr defaultColWidth="9.33203125" defaultRowHeight="10.199999999999999"/>
  <cols>
    <col min="1" max="1" width="27" style="44" customWidth="1"/>
    <col min="2" max="5" width="15.6640625" style="44" customWidth="1"/>
    <col min="6" max="16384" width="9.33203125" style="44"/>
  </cols>
  <sheetData>
    <row r="1" spans="1:5" s="171" customFormat="1" ht="19.5" customHeight="1">
      <c r="A1" s="672"/>
      <c r="B1" s="673"/>
      <c r="C1" s="673"/>
    </row>
    <row r="2" spans="1:5" s="171" customFormat="1">
      <c r="A2" s="383" t="s">
        <v>594</v>
      </c>
      <c r="B2" s="44"/>
      <c r="C2" s="44"/>
    </row>
    <row r="3" spans="1:5" s="171" customFormat="1">
      <c r="A3" s="172"/>
      <c r="B3" s="44"/>
      <c r="C3" s="44"/>
    </row>
    <row r="4" spans="1:5">
      <c r="A4" s="408" t="s">
        <v>294</v>
      </c>
      <c r="B4" s="674" t="str">
        <f>'Dane podstawowe'!B7</f>
        <v>01.01.2022-31.12.2022</v>
      </c>
      <c r="C4" s="674"/>
      <c r="D4" s="674" t="str">
        <f>'Dane podstawowe'!B12</f>
        <v>01.01.2021-31.12.2021</v>
      </c>
      <c r="E4" s="674"/>
    </row>
    <row r="5" spans="1:5">
      <c r="A5" s="408"/>
      <c r="B5" s="408" t="s">
        <v>13</v>
      </c>
      <c r="C5" s="408" t="s">
        <v>14</v>
      </c>
      <c r="D5" s="408" t="s">
        <v>13</v>
      </c>
      <c r="E5" s="408" t="s">
        <v>14</v>
      </c>
    </row>
    <row r="6" spans="1:5" ht="14.1" customHeight="1">
      <c r="A6" s="674" t="s">
        <v>512</v>
      </c>
      <c r="B6" s="674"/>
      <c r="C6" s="674"/>
      <c r="D6" s="674"/>
      <c r="E6" s="674"/>
    </row>
    <row r="7" spans="1:5" ht="30.6">
      <c r="A7" s="67" t="s">
        <v>119</v>
      </c>
      <c r="B7" s="384">
        <f>RZiS!D3</f>
        <v>79872400</v>
      </c>
      <c r="C7" s="384">
        <f>B7/$C$31</f>
        <v>17036537.764221571</v>
      </c>
      <c r="D7" s="384">
        <f>RZiS!E3</f>
        <v>67492216</v>
      </c>
      <c r="E7" s="384">
        <f>D7/$E$31</f>
        <v>14744339.92353905</v>
      </c>
    </row>
    <row r="8" spans="1:5">
      <c r="A8" s="67" t="s">
        <v>120</v>
      </c>
      <c r="B8" s="384">
        <f>RZiS!D7</f>
        <v>81792666</v>
      </c>
      <c r="C8" s="384">
        <f>B8/$C$31</f>
        <v>17446124.60806689</v>
      </c>
      <c r="D8" s="384">
        <f>RZiS!E7</f>
        <v>68189456</v>
      </c>
      <c r="E8" s="384">
        <f>D8/$E$31</f>
        <v>14896658.874931732</v>
      </c>
    </row>
    <row r="9" spans="1:5" ht="20.399999999999999">
      <c r="A9" s="67" t="s">
        <v>320</v>
      </c>
      <c r="B9" s="384">
        <f>RZiS!D21</f>
        <v>639976</v>
      </c>
      <c r="C9" s="384">
        <f>B9/$C$31</f>
        <v>136504.91649425164</v>
      </c>
      <c r="D9" s="384">
        <f>RZiS!E21</f>
        <v>344616</v>
      </c>
      <c r="E9" s="384">
        <f>D9/$E$31</f>
        <v>75284.762424904431</v>
      </c>
    </row>
    <row r="10" spans="1:5">
      <c r="A10" s="67" t="s">
        <v>121</v>
      </c>
      <c r="B10" s="384">
        <f>RZiS!D26</f>
        <v>379450</v>
      </c>
      <c r="C10" s="384">
        <f>B10/$C$31</f>
        <v>80935.520337862341</v>
      </c>
      <c r="D10" s="384">
        <f>RZiS!E26</f>
        <v>259542</v>
      </c>
      <c r="E10" s="384">
        <f>D10/$E$31</f>
        <v>56699.508465319501</v>
      </c>
    </row>
    <row r="11" spans="1:5" ht="20.399999999999999">
      <c r="A11" s="67" t="s">
        <v>127</v>
      </c>
      <c r="B11" s="384">
        <f>RZiS!D34</f>
        <v>195819</v>
      </c>
      <c r="C11" s="384">
        <f>B11/$C$31</f>
        <v>41767.591664355954</v>
      </c>
      <c r="D11" s="384">
        <f>RZiS!E34</f>
        <v>276980</v>
      </c>
      <c r="E11" s="384">
        <f>D11/$E$31</f>
        <v>60509.011469142548</v>
      </c>
    </row>
    <row r="12" spans="1:5">
      <c r="A12" s="67" t="s">
        <v>123</v>
      </c>
      <c r="B12" s="384">
        <v>2485775</v>
      </c>
      <c r="C12" s="384">
        <v>2485775</v>
      </c>
      <c r="D12" s="384">
        <v>2485775</v>
      </c>
      <c r="E12" s="384">
        <f>D12</f>
        <v>2485775</v>
      </c>
    </row>
    <row r="13" spans="1:5" ht="20.399999999999999">
      <c r="A13" s="67" t="s">
        <v>125</v>
      </c>
      <c r="B13" s="409">
        <f>B11/B12</f>
        <v>7.8775834498295297E-2</v>
      </c>
      <c r="C13" s="409">
        <f>B13/$C$31</f>
        <v>1.6802643708443421E-2</v>
      </c>
      <c r="D13" s="409">
        <f>D11/D12</f>
        <v>0.11142601401977251</v>
      </c>
      <c r="E13" s="409">
        <f>D13/$E$31</f>
        <v>2.4342111200387224E-2</v>
      </c>
    </row>
    <row r="14" spans="1:5">
      <c r="A14" s="67"/>
      <c r="B14" s="384"/>
      <c r="C14" s="384"/>
      <c r="D14" s="384"/>
      <c r="E14" s="384"/>
    </row>
    <row r="15" spans="1:5" ht="14.1" customHeight="1">
      <c r="A15" s="674" t="s">
        <v>513</v>
      </c>
      <c r="B15" s="674"/>
      <c r="C15" s="674"/>
      <c r="D15" s="674"/>
      <c r="E15" s="674"/>
    </row>
    <row r="16" spans="1:5">
      <c r="A16" s="67" t="s">
        <v>464</v>
      </c>
      <c r="B16" s="384">
        <f>Aktywa!D3</f>
        <v>21792287</v>
      </c>
      <c r="C16" s="384">
        <f t="shared" ref="C16:C20" si="0">B16/$C$30</f>
        <v>4646642.1458879719</v>
      </c>
      <c r="D16" s="384">
        <f>Aktywa!E3</f>
        <v>20779460</v>
      </c>
      <c r="E16" s="384">
        <f t="shared" ref="E16:E21" si="1">D16/$E$30</f>
        <v>4517863.1995477667</v>
      </c>
    </row>
    <row r="17" spans="1:5">
      <c r="A17" s="67" t="s">
        <v>465</v>
      </c>
      <c r="B17" s="384">
        <f>Aktywa!D15</f>
        <v>20857889</v>
      </c>
      <c r="C17" s="384">
        <f t="shared" si="0"/>
        <v>4447405.9148382694</v>
      </c>
      <c r="D17" s="384">
        <f>Aktywa!E15</f>
        <v>16946624</v>
      </c>
      <c r="E17" s="384">
        <f t="shared" si="1"/>
        <v>3684529.2864286643</v>
      </c>
    </row>
    <row r="18" spans="1:5">
      <c r="A18" s="67" t="s">
        <v>58</v>
      </c>
      <c r="B18" s="384">
        <f>Pasywa!D3</f>
        <v>21362588</v>
      </c>
      <c r="C18" s="384">
        <f t="shared" si="0"/>
        <v>4555019.9364591995</v>
      </c>
      <c r="D18" s="384">
        <f>Pasywa!E3</f>
        <v>22032314</v>
      </c>
      <c r="E18" s="384">
        <f t="shared" si="1"/>
        <v>4790258.2945601596</v>
      </c>
    </row>
    <row r="19" spans="1:5">
      <c r="A19" s="67" t="s">
        <v>292</v>
      </c>
      <c r="B19" s="384">
        <f>Pasywa!D12</f>
        <v>3044957</v>
      </c>
      <c r="C19" s="384">
        <f t="shared" si="0"/>
        <v>649258.40636260901</v>
      </c>
      <c r="D19" s="384">
        <f>Pasywa!E12</f>
        <v>2440903</v>
      </c>
      <c r="E19" s="384">
        <f t="shared" si="1"/>
        <v>530700.3087359221</v>
      </c>
    </row>
    <row r="20" spans="1:5">
      <c r="A20" s="67" t="s">
        <v>291</v>
      </c>
      <c r="B20" s="384">
        <f>Pasywa!D20</f>
        <v>18242631</v>
      </c>
      <c r="C20" s="384">
        <f t="shared" si="0"/>
        <v>3889769.7179044331</v>
      </c>
      <c r="D20" s="384">
        <f>Pasywa!E20</f>
        <v>13252867</v>
      </c>
      <c r="E20" s="384">
        <f t="shared" si="1"/>
        <v>2881433.8826803495</v>
      </c>
    </row>
    <row r="21" spans="1:5">
      <c r="A21" s="67" t="s">
        <v>124</v>
      </c>
      <c r="B21" s="409">
        <f>B18/'wybrane dane finansowe'!B12</f>
        <v>8.5939346883768639</v>
      </c>
      <c r="C21" s="409">
        <f>B21/$C$30</f>
        <v>1.8324345270425519</v>
      </c>
      <c r="D21" s="409">
        <f>D18/'wybrane dane finansowe'!D12</f>
        <v>8.863358107632429</v>
      </c>
      <c r="E21" s="409">
        <f t="shared" si="1"/>
        <v>1.9270683366596575</v>
      </c>
    </row>
    <row r="22" spans="1:5">
      <c r="A22" s="309"/>
      <c r="B22" s="309"/>
      <c r="C22" s="309"/>
      <c r="D22" s="309"/>
      <c r="E22" s="309"/>
    </row>
    <row r="23" spans="1:5" ht="14.1" customHeight="1">
      <c r="A23" s="676" t="s">
        <v>514</v>
      </c>
      <c r="B23" s="676"/>
      <c r="C23" s="676"/>
      <c r="D23" s="676"/>
      <c r="E23" s="676"/>
    </row>
    <row r="24" spans="1:5" ht="20.399999999999999">
      <c r="A24" s="67" t="s">
        <v>330</v>
      </c>
      <c r="B24" s="384">
        <f>RPP!C24</f>
        <v>2928267</v>
      </c>
      <c r="C24" s="384">
        <f>B24/$C$31</f>
        <v>624590.36324467289</v>
      </c>
      <c r="D24" s="384">
        <f>RPP!D24</f>
        <v>3222700</v>
      </c>
      <c r="E24" s="384">
        <f>D24/$E$31</f>
        <v>704030.58438012016</v>
      </c>
    </row>
    <row r="25" spans="1:5" ht="20.399999999999999">
      <c r="A25" s="67" t="s">
        <v>333</v>
      </c>
      <c r="B25" s="384">
        <f>RPP!C37</f>
        <v>-1414532</v>
      </c>
      <c r="C25" s="384">
        <f>B25/$C$31</f>
        <v>-301715.33391634497</v>
      </c>
      <c r="D25" s="384">
        <f>RPP!D37</f>
        <v>-1858934</v>
      </c>
      <c r="E25" s="384">
        <f>D25/$E$31</f>
        <v>-406102.45767340256</v>
      </c>
    </row>
    <row r="26" spans="1:5" ht="20.399999999999999">
      <c r="A26" s="67" t="s">
        <v>338</v>
      </c>
      <c r="B26" s="384">
        <f>RPP!C54</f>
        <v>-1241795</v>
      </c>
      <c r="C26" s="384">
        <f>B26/$C$31</f>
        <v>-264871.06200541777</v>
      </c>
      <c r="D26" s="384">
        <f>RPP!D54</f>
        <v>-3353601</v>
      </c>
      <c r="E26" s="384">
        <f>D26/$E$31</f>
        <v>-732627.19825232122</v>
      </c>
    </row>
    <row r="29" spans="1:5">
      <c r="A29" s="51" t="s">
        <v>515</v>
      </c>
      <c r="B29" s="51"/>
      <c r="C29" s="51">
        <v>2022</v>
      </c>
      <c r="D29" s="51"/>
      <c r="E29" s="51">
        <v>2021</v>
      </c>
    </row>
    <row r="30" spans="1:5">
      <c r="A30" s="385" t="s">
        <v>516</v>
      </c>
      <c r="C30" s="615">
        <v>4.6898999999999997</v>
      </c>
      <c r="E30" s="553">
        <v>4.5994000000000002</v>
      </c>
    </row>
    <row r="31" spans="1:5">
      <c r="A31" s="385" t="s">
        <v>517</v>
      </c>
      <c r="C31" s="615">
        <v>4.6882999999999999</v>
      </c>
      <c r="E31" s="553">
        <v>4.5774999999999997</v>
      </c>
    </row>
    <row r="34" spans="1:5" ht="37.5" customHeight="1">
      <c r="A34" s="675" t="s">
        <v>518</v>
      </c>
      <c r="B34" s="675"/>
      <c r="C34" s="675"/>
      <c r="D34" s="675"/>
      <c r="E34" s="675"/>
    </row>
  </sheetData>
  <mergeCells count="7">
    <mergeCell ref="A1:C1"/>
    <mergeCell ref="B4:C4"/>
    <mergeCell ref="D4:E4"/>
    <mergeCell ref="A34:E34"/>
    <mergeCell ref="A6:E6"/>
    <mergeCell ref="A15:E15"/>
    <mergeCell ref="A23:E23"/>
  </mergeCells>
  <pageMargins left="0.7" right="0.7" top="0.75" bottom="0.75" header="0.3" footer="0.3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view="pageBreakPreview" zoomScaleNormal="100" zoomScaleSheetLayoutView="100" workbookViewId="0">
      <selection activeCell="A62" sqref="A62:E75"/>
    </sheetView>
  </sheetViews>
  <sheetFormatPr defaultColWidth="9.33203125" defaultRowHeight="10.199999999999999"/>
  <cols>
    <col min="1" max="1" width="50.5546875" style="133" customWidth="1"/>
    <col min="2" max="4" width="14.5546875" style="133" customWidth="1"/>
    <col min="5" max="5" width="11.44140625" style="133" customWidth="1"/>
    <col min="6" max="6" width="18.5546875" style="133" customWidth="1"/>
    <col min="7" max="7" width="14.5546875" style="133" customWidth="1"/>
    <col min="8" max="16384" width="9.33203125" style="133"/>
  </cols>
  <sheetData>
    <row r="1" spans="1:6">
      <c r="A1" s="172"/>
    </row>
    <row r="2" spans="1:6">
      <c r="A2" s="131"/>
    </row>
    <row r="3" spans="1:6" ht="13.2">
      <c r="A3" s="381" t="s">
        <v>913</v>
      </c>
      <c r="B3" s="381"/>
      <c r="C3" s="381"/>
      <c r="D3" s="381"/>
      <c r="E3" s="381"/>
      <c r="F3" s="381"/>
    </row>
    <row r="4" spans="1:6">
      <c r="A4" s="130"/>
    </row>
    <row r="5" spans="1:6" s="341" customFormat="1">
      <c r="A5" s="112" t="s">
        <v>163</v>
      </c>
      <c r="B5" s="416">
        <v>44926</v>
      </c>
      <c r="C5" s="416">
        <v>44561</v>
      </c>
    </row>
    <row r="6" spans="1:6" s="44" customFormat="1">
      <c r="A6" s="63" t="s">
        <v>468</v>
      </c>
      <c r="B6" s="200">
        <v>3652</v>
      </c>
      <c r="C6" s="200">
        <v>237511</v>
      </c>
    </row>
    <row r="7" spans="1:6" s="44" customFormat="1">
      <c r="A7" s="63" t="s">
        <v>469</v>
      </c>
      <c r="B7" s="309">
        <v>0</v>
      </c>
      <c r="C7" s="309">
        <v>0</v>
      </c>
    </row>
    <row r="8" spans="1:6" s="44" customFormat="1" ht="12.75" hidden="1" customHeight="1">
      <c r="A8" s="63" t="s">
        <v>409</v>
      </c>
      <c r="B8" s="309">
        <v>0</v>
      </c>
      <c r="C8" s="309">
        <v>0</v>
      </c>
    </row>
    <row r="9" spans="1:6" s="44" customFormat="1" hidden="1">
      <c r="A9" s="63" t="s">
        <v>470</v>
      </c>
      <c r="B9" s="309">
        <v>0</v>
      </c>
      <c r="C9" s="309">
        <v>0</v>
      </c>
    </row>
    <row r="10" spans="1:6" s="44" customFormat="1" hidden="1">
      <c r="A10" s="63" t="s">
        <v>471</v>
      </c>
      <c r="B10" s="309">
        <v>0</v>
      </c>
      <c r="C10" s="309">
        <v>0</v>
      </c>
    </row>
    <row r="11" spans="1:6" s="44" customFormat="1" hidden="1">
      <c r="A11" s="63" t="s">
        <v>217</v>
      </c>
      <c r="B11" s="309">
        <v>0</v>
      </c>
      <c r="C11" s="309">
        <v>0</v>
      </c>
    </row>
    <row r="12" spans="1:6" s="44" customFormat="1" hidden="1">
      <c r="A12" s="63" t="s">
        <v>218</v>
      </c>
      <c r="B12" s="309">
        <v>0</v>
      </c>
      <c r="C12" s="309">
        <v>0</v>
      </c>
    </row>
    <row r="13" spans="1:6" s="44" customFormat="1" hidden="1">
      <c r="A13" s="63" t="s">
        <v>472</v>
      </c>
      <c r="B13" s="309">
        <v>0</v>
      </c>
      <c r="C13" s="309">
        <v>0</v>
      </c>
    </row>
    <row r="14" spans="1:6" s="44" customFormat="1">
      <c r="A14" s="118" t="s">
        <v>25</v>
      </c>
      <c r="B14" s="88">
        <f>B6+B8+B9+B10+B11+B12+B13</f>
        <v>3652</v>
      </c>
      <c r="C14" s="88">
        <f>C6+C8+C9+C10+C11+C12+C13</f>
        <v>237511</v>
      </c>
    </row>
    <row r="15" spans="1:6" s="44" customFormat="1">
      <c r="B15" s="301">
        <f>B14-Aktywa!D11</f>
        <v>0</v>
      </c>
      <c r="C15" s="301">
        <f>C14-Aktywa!E11</f>
        <v>0</v>
      </c>
    </row>
    <row r="16" spans="1:6" s="44" customFormat="1"/>
    <row r="17" spans="1:3">
      <c r="A17" s="70" t="s">
        <v>166</v>
      </c>
      <c r="B17" s="416">
        <f>B5</f>
        <v>44926</v>
      </c>
      <c r="C17" s="416">
        <f>C5</f>
        <v>44561</v>
      </c>
    </row>
    <row r="18" spans="1:3">
      <c r="A18" s="63" t="s">
        <v>468</v>
      </c>
      <c r="B18" s="200">
        <v>46759</v>
      </c>
      <c r="C18" s="200">
        <v>89034</v>
      </c>
    </row>
    <row r="19" spans="1:3">
      <c r="A19" s="63" t="s">
        <v>469</v>
      </c>
      <c r="B19" s="200">
        <v>0</v>
      </c>
      <c r="C19" s="200">
        <v>0</v>
      </c>
    </row>
    <row r="20" spans="1:3" hidden="1">
      <c r="A20" s="63" t="s">
        <v>409</v>
      </c>
      <c r="B20" s="200">
        <v>0</v>
      </c>
      <c r="C20" s="200">
        <v>0</v>
      </c>
    </row>
    <row r="21" spans="1:3" hidden="1">
      <c r="A21" s="63" t="s">
        <v>470</v>
      </c>
      <c r="B21" s="200">
        <v>0</v>
      </c>
      <c r="C21" s="200">
        <v>0</v>
      </c>
    </row>
    <row r="22" spans="1:3" hidden="1">
      <c r="A22" s="63" t="s">
        <v>471</v>
      </c>
      <c r="B22" s="200">
        <v>0</v>
      </c>
      <c r="C22" s="200">
        <v>0</v>
      </c>
    </row>
    <row r="23" spans="1:3" hidden="1">
      <c r="A23" s="63" t="s">
        <v>219</v>
      </c>
      <c r="B23" s="200">
        <v>0</v>
      </c>
      <c r="C23" s="200">
        <v>0</v>
      </c>
    </row>
    <row r="24" spans="1:3" hidden="1">
      <c r="A24" s="63" t="s">
        <v>472</v>
      </c>
      <c r="B24" s="200">
        <v>0</v>
      </c>
      <c r="C24" s="200">
        <v>0</v>
      </c>
    </row>
    <row r="25" spans="1:3">
      <c r="A25" s="118" t="s">
        <v>25</v>
      </c>
      <c r="B25" s="88">
        <f>B18+B20+B21+B22+B23+B24</f>
        <v>46759</v>
      </c>
      <c r="C25" s="88">
        <f>C18+C20+C21+C22+C23+C24</f>
        <v>89034</v>
      </c>
    </row>
    <row r="26" spans="1:3">
      <c r="A26" s="132"/>
      <c r="B26" s="307">
        <f>Aktywa!D20-B25</f>
        <v>0</v>
      </c>
      <c r="C26" s="307">
        <f>Aktywa!E20-C25</f>
        <v>0</v>
      </c>
    </row>
    <row r="27" spans="1:3">
      <c r="A27" s="132" t="s">
        <v>484</v>
      </c>
    </row>
    <row r="28" spans="1:3">
      <c r="A28" s="132"/>
    </row>
    <row r="29" spans="1:3">
      <c r="A29" s="134"/>
      <c r="B29" s="416">
        <f>B5</f>
        <v>44926</v>
      </c>
      <c r="C29" s="416">
        <f>C5</f>
        <v>44561</v>
      </c>
    </row>
    <row r="30" spans="1:3">
      <c r="A30" s="36" t="s">
        <v>486</v>
      </c>
      <c r="B30" s="135">
        <v>50411</v>
      </c>
      <c r="C30" s="135">
        <v>606918</v>
      </c>
    </row>
    <row r="31" spans="1:3">
      <c r="A31" s="102" t="s">
        <v>487</v>
      </c>
      <c r="B31" s="135">
        <v>0</v>
      </c>
      <c r="C31" s="135">
        <v>0</v>
      </c>
    </row>
    <row r="32" spans="1:3">
      <c r="A32" s="36" t="s">
        <v>488</v>
      </c>
      <c r="B32" s="135">
        <v>0</v>
      </c>
      <c r="C32" s="135">
        <v>280373</v>
      </c>
    </row>
    <row r="33" spans="1:3">
      <c r="A33" s="60" t="s">
        <v>489</v>
      </c>
      <c r="B33" s="76">
        <f>B30-B32</f>
        <v>50411</v>
      </c>
      <c r="C33" s="76">
        <f>C30-C32</f>
        <v>326545</v>
      </c>
    </row>
    <row r="34" spans="1:3">
      <c r="A34" s="69" t="s">
        <v>482</v>
      </c>
      <c r="B34" s="81">
        <v>3652</v>
      </c>
      <c r="C34" s="81">
        <v>237511</v>
      </c>
    </row>
    <row r="35" spans="1:3">
      <c r="A35" s="69" t="s">
        <v>483</v>
      </c>
      <c r="B35" s="81">
        <v>46759</v>
      </c>
      <c r="C35" s="81">
        <v>89034</v>
      </c>
    </row>
    <row r="36" spans="1:3">
      <c r="A36" s="579"/>
      <c r="B36" s="580"/>
      <c r="C36" s="580"/>
    </row>
    <row r="37" spans="1:3">
      <c r="A37" s="132" t="s">
        <v>378</v>
      </c>
      <c r="B37" s="580"/>
      <c r="C37" s="580"/>
    </row>
    <row r="38" spans="1:3">
      <c r="A38" s="579"/>
      <c r="B38" s="580"/>
      <c r="C38" s="580"/>
    </row>
    <row r="39" spans="1:3">
      <c r="A39" s="581" t="s">
        <v>839</v>
      </c>
      <c r="B39" s="580"/>
      <c r="C39" s="580"/>
    </row>
    <row r="40" spans="1:3">
      <c r="A40" s="579"/>
      <c r="B40" s="580"/>
      <c r="C40" s="580"/>
    </row>
    <row r="41" spans="1:3">
      <c r="A41" s="420" t="s">
        <v>797</v>
      </c>
      <c r="B41" s="416">
        <v>44926</v>
      </c>
      <c r="C41" s="416">
        <v>44561</v>
      </c>
    </row>
    <row r="42" spans="1:3">
      <c r="A42" s="50" t="s">
        <v>798</v>
      </c>
      <c r="B42" s="551">
        <f>SUM(B43:B46)</f>
        <v>20950380</v>
      </c>
      <c r="C42" s="551">
        <f>SUM(C43:C46)</f>
        <v>17273052</v>
      </c>
    </row>
    <row r="43" spans="1:3">
      <c r="A43" s="497" t="s">
        <v>81</v>
      </c>
      <c r="B43" s="405">
        <f>Aktywa!D11+Aktywa!D20</f>
        <v>50411</v>
      </c>
      <c r="C43" s="405">
        <f>Aktywa!E11+Aktywa!E20</f>
        <v>326545</v>
      </c>
    </row>
    <row r="44" spans="1:3">
      <c r="A44" s="497" t="s">
        <v>302</v>
      </c>
      <c r="B44" s="405">
        <f>Aktywa!D17</f>
        <v>14960022</v>
      </c>
      <c r="C44" s="405">
        <f>Aktywa!E17</f>
        <v>12092116</v>
      </c>
    </row>
    <row r="45" spans="1:3">
      <c r="A45" s="497" t="s">
        <v>711</v>
      </c>
      <c r="B45" s="405">
        <f>Aktywa!D19+Aktywa!D12+Aktywa!D18</f>
        <v>1705945</v>
      </c>
      <c r="C45" s="405">
        <f>Aktywa!E19+Aktywa!E12+Aktywa!E18</f>
        <v>892329</v>
      </c>
    </row>
    <row r="46" spans="1:3">
      <c r="A46" s="47" t="s">
        <v>303</v>
      </c>
      <c r="B46" s="405">
        <f>Aktywa!D23</f>
        <v>4234002</v>
      </c>
      <c r="C46" s="405">
        <f>Aktywa!E23</f>
        <v>3962062</v>
      </c>
    </row>
    <row r="47" spans="1:3">
      <c r="A47" s="47"/>
      <c r="B47" s="551"/>
      <c r="C47" s="551"/>
    </row>
    <row r="48" spans="1:3">
      <c r="A48" s="50" t="s">
        <v>799</v>
      </c>
      <c r="B48" s="551">
        <f t="shared" ref="B48:C48" si="0">SUM(B49:B52)</f>
        <v>15866036</v>
      </c>
      <c r="C48" s="551">
        <f t="shared" si="0"/>
        <v>11759319</v>
      </c>
    </row>
    <row r="49" spans="1:5">
      <c r="A49" s="47" t="s">
        <v>45</v>
      </c>
      <c r="B49" s="405">
        <f>Pasywa!D13+Pasywa!D21</f>
        <v>1259575</v>
      </c>
      <c r="C49" s="405">
        <f>Pasywa!E13+Pasywa!E21</f>
        <v>546904</v>
      </c>
    </row>
    <row r="50" spans="1:5">
      <c r="A50" s="47" t="s">
        <v>1070</v>
      </c>
      <c r="B50" s="405">
        <f>Pasywa!D14+Pasywa!D22</f>
        <v>1929919</v>
      </c>
      <c r="C50" s="405">
        <f>Pasywa!E14+Pasywa!E22</f>
        <v>1627210</v>
      </c>
    </row>
    <row r="51" spans="1:5">
      <c r="A51" s="554" t="s">
        <v>315</v>
      </c>
      <c r="B51" s="405">
        <f>Pasywa!D23</f>
        <v>9835868</v>
      </c>
      <c r="C51" s="405">
        <f>Pasywa!E23</f>
        <v>7374029</v>
      </c>
    </row>
    <row r="52" spans="1:5">
      <c r="A52" s="554" t="s">
        <v>800</v>
      </c>
      <c r="B52" s="405">
        <f>Pasywa!D15+Pasywa!D25+Pasywa!D24</f>
        <v>2840674</v>
      </c>
      <c r="C52" s="405">
        <f>Pasywa!E15+Pasywa!E25+Pasywa!E24</f>
        <v>2211176</v>
      </c>
    </row>
    <row r="53" spans="1:5">
      <c r="A53" s="554"/>
      <c r="B53" s="551"/>
      <c r="C53" s="551"/>
    </row>
    <row r="54" spans="1:5" ht="20.399999999999999">
      <c r="A54" s="50" t="s">
        <v>801</v>
      </c>
      <c r="B54" s="551">
        <v>0</v>
      </c>
      <c r="C54" s="551">
        <v>0</v>
      </c>
    </row>
    <row r="55" spans="1:5">
      <c r="A55" s="50"/>
      <c r="B55" s="551"/>
      <c r="C55" s="551"/>
    </row>
    <row r="56" spans="1:5" ht="20.399999999999999">
      <c r="A56" s="50" t="s">
        <v>802</v>
      </c>
      <c r="B56" s="551">
        <v>603261</v>
      </c>
      <c r="C56" s="551">
        <v>0</v>
      </c>
    </row>
    <row r="57" spans="1:5">
      <c r="A57" s="72"/>
      <c r="B57" s="582"/>
      <c r="C57" s="582"/>
    </row>
    <row r="58" spans="1:5">
      <c r="A58" s="72"/>
      <c r="B58" s="582"/>
      <c r="C58" s="582"/>
    </row>
    <row r="59" spans="1:5" ht="20.399999999999999">
      <c r="A59" s="72" t="s">
        <v>840</v>
      </c>
      <c r="B59" s="582"/>
      <c r="C59" s="582"/>
    </row>
    <row r="60" spans="1:5">
      <c r="A60" s="72"/>
      <c r="B60" s="582"/>
      <c r="C60" s="582"/>
    </row>
    <row r="61" spans="1:5">
      <c r="A61" s="72"/>
      <c r="B61" s="582"/>
      <c r="C61" s="582"/>
    </row>
    <row r="62" spans="1:5" ht="71.400000000000006">
      <c r="A62" s="420">
        <v>44926</v>
      </c>
      <c r="B62" s="115" t="s">
        <v>774</v>
      </c>
      <c r="C62" s="115" t="s">
        <v>775</v>
      </c>
      <c r="D62" s="115" t="s">
        <v>776</v>
      </c>
      <c r="E62" s="115" t="s">
        <v>777</v>
      </c>
    </row>
    <row r="63" spans="1:5">
      <c r="A63" s="50" t="s">
        <v>778</v>
      </c>
      <c r="B63" s="550">
        <v>6963</v>
      </c>
      <c r="C63" s="550">
        <v>-251630</v>
      </c>
      <c r="D63" s="405">
        <f>D130</f>
        <v>0</v>
      </c>
      <c r="E63" s="405">
        <f>E130</f>
        <v>0</v>
      </c>
    </row>
    <row r="64" spans="1:5">
      <c r="A64" s="497" t="s">
        <v>779</v>
      </c>
      <c r="B64" s="405">
        <v>2056</v>
      </c>
      <c r="C64" s="405">
        <v>-18997</v>
      </c>
      <c r="D64" s="405">
        <v>0</v>
      </c>
      <c r="E64" s="405">
        <v>0</v>
      </c>
    </row>
    <row r="65" spans="1:5">
      <c r="A65" s="497" t="s">
        <v>780</v>
      </c>
      <c r="B65" s="405">
        <v>-416467</v>
      </c>
      <c r="C65" s="405">
        <v>0</v>
      </c>
      <c r="D65" s="405">
        <f>D63+D64</f>
        <v>0</v>
      </c>
      <c r="E65" s="405">
        <f>E63+E64</f>
        <v>0</v>
      </c>
    </row>
    <row r="66" spans="1:5">
      <c r="A66" s="497" t="s">
        <v>781</v>
      </c>
      <c r="B66" s="405">
        <v>0</v>
      </c>
      <c r="C66" s="405">
        <v>0</v>
      </c>
      <c r="D66" s="405">
        <v>0</v>
      </c>
      <c r="E66" s="405">
        <v>0</v>
      </c>
    </row>
    <row r="67" spans="1:5">
      <c r="A67" s="47" t="s">
        <v>782</v>
      </c>
      <c r="B67" s="405">
        <v>0</v>
      </c>
      <c r="C67" s="405">
        <v>0</v>
      </c>
      <c r="D67" s="405">
        <v>0</v>
      </c>
      <c r="E67" s="405">
        <v>0</v>
      </c>
    </row>
    <row r="68" spans="1:5">
      <c r="A68" s="47" t="s">
        <v>783</v>
      </c>
      <c r="B68" s="311">
        <v>0</v>
      </c>
      <c r="C68" s="311">
        <v>0</v>
      </c>
      <c r="D68" s="311">
        <v>0</v>
      </c>
      <c r="E68" s="311">
        <v>0</v>
      </c>
    </row>
    <row r="69" spans="1:5" ht="71.400000000000006">
      <c r="A69" s="420">
        <v>44561</v>
      </c>
      <c r="B69" s="115" t="s">
        <v>774</v>
      </c>
      <c r="C69" s="115" t="s">
        <v>775</v>
      </c>
      <c r="D69" s="115" t="s">
        <v>776</v>
      </c>
      <c r="E69" s="115" t="s">
        <v>777</v>
      </c>
    </row>
    <row r="70" spans="1:5">
      <c r="A70" s="50" t="s">
        <v>778</v>
      </c>
      <c r="B70" s="550">
        <v>22073</v>
      </c>
      <c r="C70" s="550">
        <v>-61772</v>
      </c>
      <c r="D70" s="405">
        <f>C137</f>
        <v>0</v>
      </c>
      <c r="E70" s="405">
        <f>D137</f>
        <v>0</v>
      </c>
    </row>
    <row r="71" spans="1:5">
      <c r="A71" s="497" t="s">
        <v>779</v>
      </c>
      <c r="B71" s="550">
        <v>-37574</v>
      </c>
      <c r="C71" s="550">
        <v>-1703</v>
      </c>
      <c r="D71" s="405">
        <v>0</v>
      </c>
      <c r="E71" s="405">
        <v>0</v>
      </c>
    </row>
    <row r="72" spans="1:5">
      <c r="A72" s="497" t="s">
        <v>784</v>
      </c>
      <c r="B72" s="550">
        <v>-326669</v>
      </c>
      <c r="C72" s="405">
        <v>0</v>
      </c>
      <c r="D72" s="405">
        <v>0</v>
      </c>
      <c r="E72" s="405">
        <v>0</v>
      </c>
    </row>
    <row r="73" spans="1:5">
      <c r="A73" s="497" t="s">
        <v>781</v>
      </c>
      <c r="B73" s="405">
        <v>0</v>
      </c>
      <c r="C73" s="405">
        <v>0</v>
      </c>
      <c r="D73" s="405">
        <v>0</v>
      </c>
      <c r="E73" s="405">
        <v>0</v>
      </c>
    </row>
    <row r="74" spans="1:5">
      <c r="A74" s="47" t="s">
        <v>782</v>
      </c>
      <c r="B74" s="405">
        <v>0</v>
      </c>
      <c r="C74" s="405">
        <v>0</v>
      </c>
      <c r="D74" s="405">
        <v>0</v>
      </c>
      <c r="E74" s="405">
        <v>0</v>
      </c>
    </row>
    <row r="75" spans="1:5">
      <c r="A75" s="47" t="s">
        <v>783</v>
      </c>
      <c r="B75" s="405">
        <v>0</v>
      </c>
      <c r="C75" s="405">
        <v>0</v>
      </c>
      <c r="D75" s="405">
        <v>0</v>
      </c>
      <c r="E75" s="405">
        <v>0</v>
      </c>
    </row>
    <row r="76" spans="1:5">
      <c r="A76" s="579"/>
      <c r="B76" s="580"/>
      <c r="C76" s="580"/>
    </row>
    <row r="77" spans="1:5">
      <c r="A77" s="579"/>
      <c r="B77" s="580"/>
      <c r="C77" s="580"/>
    </row>
    <row r="78" spans="1:5">
      <c r="A78" s="579"/>
      <c r="B78" s="580"/>
      <c r="C78" s="580"/>
    </row>
    <row r="79" spans="1:5">
      <c r="A79" s="579"/>
      <c r="B79" s="580"/>
      <c r="C79" s="580"/>
    </row>
    <row r="80" spans="1:5">
      <c r="A80" s="579"/>
      <c r="B80" s="580"/>
      <c r="C80" s="580"/>
    </row>
    <row r="81" spans="1:3">
      <c r="A81" s="579"/>
      <c r="B81" s="580"/>
      <c r="C81" s="580"/>
    </row>
  </sheetData>
  <phoneticPr fontId="12" type="noConversion"/>
  <pageMargins left="0.75" right="0.75" top="1" bottom="1" header="0.5" footer="0.5"/>
  <pageSetup paperSize="9" scale="63" orientation="portrait" r:id="rId1"/>
  <headerFooter alignWithMargins="0"/>
  <rowBreaks count="1" manualBreakCount="1">
    <brk id="2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/>
  <dimension ref="A1:GA133"/>
  <sheetViews>
    <sheetView showGridLines="0" view="pageBreakPreview" topLeftCell="A81" zoomScaleNormal="100" zoomScaleSheetLayoutView="100" workbookViewId="0">
      <selection activeCell="G104" sqref="G104"/>
    </sheetView>
  </sheetViews>
  <sheetFormatPr defaultColWidth="9.33203125" defaultRowHeight="13.2"/>
  <cols>
    <col min="1" max="1" width="38.33203125" customWidth="1"/>
    <col min="2" max="2" width="12.33203125" customWidth="1"/>
    <col min="3" max="3" width="13.44140625" customWidth="1"/>
    <col min="4" max="7" width="8.6640625" customWidth="1"/>
    <col min="8" max="8" width="9.33203125" customWidth="1"/>
    <col min="9" max="12" width="12.33203125" customWidth="1"/>
  </cols>
  <sheetData>
    <row r="1" spans="1:14">
      <c r="A1" s="38"/>
    </row>
    <row r="2" spans="1:14" s="44" customFormat="1">
      <c r="A2" s="381" t="s">
        <v>914</v>
      </c>
      <c r="B2" s="381"/>
      <c r="C2" s="381"/>
      <c r="D2" s="381"/>
      <c r="E2" s="381"/>
      <c r="F2" s="381"/>
      <c r="G2" s="381"/>
      <c r="H2" s="381"/>
      <c r="I2" s="381"/>
      <c r="J2" s="381"/>
    </row>
    <row r="3" spans="1:14" s="44" customFormat="1" ht="10.199999999999999">
      <c r="B3" s="699"/>
      <c r="C3" s="699"/>
      <c r="D3" s="699"/>
      <c r="E3" s="699"/>
      <c r="F3" s="699"/>
      <c r="G3" s="699"/>
      <c r="H3" s="699"/>
    </row>
    <row r="4" spans="1:14" s="44" customFormat="1" ht="10.199999999999999">
      <c r="A4" s="112" t="s">
        <v>294</v>
      </c>
      <c r="B4" s="416">
        <f>Aktywa!D2</f>
        <v>44926</v>
      </c>
      <c r="C4" s="416">
        <v>44561</v>
      </c>
      <c r="D4" s="439"/>
      <c r="E4" s="439"/>
      <c r="F4" s="439"/>
      <c r="G4" s="439"/>
    </row>
    <row r="5" spans="1:14" s="44" customFormat="1" ht="10.199999999999999">
      <c r="A5" s="55" t="s">
        <v>476</v>
      </c>
      <c r="B5" s="88">
        <f>SUM(B6:B7)</f>
        <v>14960022</v>
      </c>
      <c r="C5" s="88">
        <f>SUM(C6:C7)</f>
        <v>12092116</v>
      </c>
      <c r="D5" s="460"/>
      <c r="E5" s="460"/>
      <c r="F5" s="460"/>
      <c r="G5" s="460"/>
    </row>
    <row r="6" spans="1:14" s="44" customFormat="1" ht="10.199999999999999">
      <c r="A6" s="122" t="s">
        <v>92</v>
      </c>
      <c r="B6" s="200">
        <v>0</v>
      </c>
      <c r="C6" s="200">
        <v>0</v>
      </c>
      <c r="D6" s="355"/>
      <c r="E6" s="355"/>
      <c r="F6" s="355"/>
      <c r="G6" s="355"/>
    </row>
    <row r="7" spans="1:14" s="44" customFormat="1" ht="10.199999999999999">
      <c r="A7" s="119" t="s">
        <v>93</v>
      </c>
      <c r="B7" s="200">
        <v>14960022</v>
      </c>
      <c r="C7" s="200">
        <v>12092116</v>
      </c>
      <c r="D7" s="355"/>
      <c r="E7" s="355"/>
      <c r="F7" s="355"/>
      <c r="G7" s="355"/>
    </row>
    <row r="8" spans="1:14" s="44" customFormat="1" ht="10.199999999999999">
      <c r="A8" s="54" t="s">
        <v>176</v>
      </c>
      <c r="B8" s="200">
        <v>1448383</v>
      </c>
      <c r="C8" s="200">
        <v>1670864</v>
      </c>
      <c r="D8" s="355"/>
      <c r="E8" s="355"/>
      <c r="F8" s="355"/>
      <c r="G8" s="355"/>
    </row>
    <row r="9" spans="1:14" s="44" customFormat="1" ht="10.199999999999999">
      <c r="A9" s="55" t="s">
        <v>91</v>
      </c>
      <c r="B9" s="88">
        <f>B5+B8</f>
        <v>16408405</v>
      </c>
      <c r="C9" s="88">
        <f>C5+C8</f>
        <v>13762980</v>
      </c>
      <c r="D9" s="460"/>
      <c r="E9" s="460"/>
      <c r="F9" s="460"/>
      <c r="G9" s="460"/>
    </row>
    <row r="10" spans="1:14" s="44" customFormat="1" ht="10.199999999999999">
      <c r="A10" s="12"/>
      <c r="B10" s="301">
        <f>B5-Aktywa!D17</f>
        <v>0</v>
      </c>
      <c r="C10" s="301">
        <f>C5-Aktywa!E17</f>
        <v>0</v>
      </c>
      <c r="D10" s="301"/>
      <c r="E10" s="301"/>
      <c r="F10" s="301"/>
      <c r="G10" s="301"/>
    </row>
    <row r="11" spans="1:14" s="44" customFormat="1" ht="10.199999999999999">
      <c r="B11" s="355"/>
      <c r="C11" s="355"/>
      <c r="D11" s="355"/>
      <c r="E11" s="355"/>
      <c r="F11" s="355"/>
      <c r="G11" s="355"/>
    </row>
    <row r="12" spans="1:14" s="44" customFormat="1" ht="10.199999999999999">
      <c r="A12" s="708" t="s">
        <v>182</v>
      </c>
      <c r="B12" s="708"/>
      <c r="C12" s="708"/>
      <c r="D12" s="708"/>
      <c r="E12" s="708"/>
      <c r="F12" s="708"/>
      <c r="G12" s="708"/>
      <c r="H12" s="708"/>
      <c r="I12" s="708"/>
      <c r="J12" s="708"/>
      <c r="K12" s="708"/>
      <c r="L12" s="120"/>
      <c r="M12" s="120"/>
      <c r="N12" s="120"/>
    </row>
    <row r="13" spans="1:14" s="44" customFormat="1" ht="10.199999999999999">
      <c r="B13" s="699"/>
      <c r="C13" s="699"/>
      <c r="D13" s="699"/>
      <c r="E13" s="699"/>
      <c r="F13" s="699"/>
      <c r="G13" s="699"/>
      <c r="H13" s="699"/>
    </row>
    <row r="14" spans="1:14" s="44" customFormat="1" ht="10.199999999999999">
      <c r="A14" s="112" t="s">
        <v>294</v>
      </c>
      <c r="B14" s="416">
        <f>B4</f>
        <v>44926</v>
      </c>
      <c r="C14" s="416">
        <f>C4</f>
        <v>44561</v>
      </c>
      <c r="D14" s="439"/>
      <c r="E14" s="439"/>
      <c r="F14" s="439"/>
      <c r="G14" s="439"/>
    </row>
    <row r="15" spans="1:14" s="133" customFormat="1" ht="10.199999999999999">
      <c r="A15" s="423" t="s">
        <v>221</v>
      </c>
      <c r="B15" s="424"/>
      <c r="C15" s="424"/>
      <c r="D15" s="440"/>
      <c r="E15" s="440"/>
      <c r="F15" s="440"/>
      <c r="G15" s="440"/>
      <c r="H15" s="44"/>
    </row>
    <row r="16" spans="1:14" s="133" customFormat="1" ht="20.399999999999999">
      <c r="A16" s="403" t="s">
        <v>477</v>
      </c>
      <c r="B16" s="123">
        <v>0</v>
      </c>
      <c r="C16" s="123">
        <v>0</v>
      </c>
      <c r="D16" s="393"/>
      <c r="E16" s="393"/>
      <c r="F16" s="393"/>
      <c r="G16" s="393"/>
    </row>
    <row r="17" spans="1:8" s="221" customFormat="1" ht="10.199999999999999">
      <c r="A17" s="219" t="s">
        <v>102</v>
      </c>
      <c r="B17" s="220">
        <f>SUM(B18:B22)</f>
        <v>0</v>
      </c>
      <c r="C17" s="220">
        <f>SUM(C18:C22)</f>
        <v>0</v>
      </c>
      <c r="D17" s="441"/>
      <c r="E17" s="441"/>
      <c r="F17" s="441"/>
      <c r="G17" s="441"/>
    </row>
    <row r="18" spans="1:8" s="133" customFormat="1" ht="20.399999999999999">
      <c r="A18" s="218" t="s">
        <v>180</v>
      </c>
      <c r="B18" s="217">
        <v>0</v>
      </c>
      <c r="C18" s="217">
        <v>0</v>
      </c>
      <c r="D18" s="308"/>
      <c r="E18" s="308"/>
      <c r="F18" s="308"/>
      <c r="G18" s="308"/>
    </row>
    <row r="19" spans="1:8" s="133" customFormat="1" ht="10.199999999999999">
      <c r="A19" s="218" t="s">
        <v>181</v>
      </c>
      <c r="B19" s="217">
        <v>0</v>
      </c>
      <c r="C19" s="217">
        <v>0</v>
      </c>
      <c r="D19" s="308"/>
      <c r="E19" s="308"/>
      <c r="F19" s="308"/>
      <c r="G19" s="308"/>
    </row>
    <row r="20" spans="1:8" s="133" customFormat="1" ht="10.199999999999999" hidden="1">
      <c r="A20" s="349" t="s">
        <v>247</v>
      </c>
      <c r="B20" s="217"/>
      <c r="C20" s="217"/>
      <c r="D20" s="308"/>
      <c r="E20" s="308"/>
      <c r="F20" s="308"/>
      <c r="G20" s="308"/>
    </row>
    <row r="21" spans="1:8" s="133" customFormat="1" ht="10.199999999999999" hidden="1">
      <c r="A21" s="349" t="s">
        <v>247</v>
      </c>
      <c r="B21" s="217"/>
      <c r="C21" s="217"/>
      <c r="D21" s="308"/>
      <c r="E21" s="308"/>
      <c r="F21" s="308"/>
      <c r="G21" s="308"/>
    </row>
    <row r="22" spans="1:8" s="133" customFormat="1" ht="10.199999999999999" hidden="1">
      <c r="A22" s="349" t="s">
        <v>247</v>
      </c>
      <c r="B22" s="217"/>
      <c r="C22" s="217"/>
      <c r="D22" s="308"/>
      <c r="E22" s="308"/>
      <c r="F22" s="308"/>
      <c r="G22" s="308"/>
    </row>
    <row r="23" spans="1:8" s="221" customFormat="1" ht="10.199999999999999">
      <c r="A23" s="219" t="s">
        <v>95</v>
      </c>
      <c r="B23" s="220">
        <f>SUM(B24:B28)</f>
        <v>0</v>
      </c>
      <c r="C23" s="220">
        <f>SUM(C24:C28)</f>
        <v>0</v>
      </c>
      <c r="D23" s="441"/>
      <c r="E23" s="441"/>
      <c r="F23" s="441"/>
      <c r="G23" s="441"/>
    </row>
    <row r="24" spans="1:8" s="133" customFormat="1" ht="10.199999999999999">
      <c r="A24" s="218" t="s">
        <v>177</v>
      </c>
      <c r="B24" s="217">
        <v>0</v>
      </c>
      <c r="C24" s="217">
        <v>0</v>
      </c>
      <c r="D24" s="308"/>
      <c r="E24" s="308"/>
      <c r="F24" s="308"/>
      <c r="G24" s="308"/>
    </row>
    <row r="25" spans="1:8" s="133" customFormat="1" ht="20.399999999999999">
      <c r="A25" s="218" t="s">
        <v>178</v>
      </c>
      <c r="B25" s="217">
        <v>0</v>
      </c>
      <c r="C25" s="217">
        <v>0</v>
      </c>
      <c r="D25" s="308"/>
      <c r="E25" s="308"/>
      <c r="F25" s="308"/>
      <c r="G25" s="308"/>
    </row>
    <row r="26" spans="1:8" s="133" customFormat="1" ht="10.199999999999999">
      <c r="A26" s="218" t="s">
        <v>179</v>
      </c>
      <c r="B26" s="217">
        <v>0</v>
      </c>
      <c r="C26" s="217">
        <v>0</v>
      </c>
      <c r="D26" s="308"/>
      <c r="E26" s="308"/>
      <c r="F26" s="308"/>
      <c r="G26" s="308"/>
    </row>
    <row r="27" spans="1:8" s="133" customFormat="1" ht="10.199999999999999" hidden="1">
      <c r="A27" s="349" t="s">
        <v>247</v>
      </c>
      <c r="B27" s="350"/>
      <c r="C27" s="350"/>
      <c r="D27" s="308"/>
      <c r="E27" s="308"/>
      <c r="F27" s="308"/>
      <c r="G27" s="308"/>
    </row>
    <row r="28" spans="1:8" s="133" customFormat="1" ht="10.199999999999999" hidden="1">
      <c r="A28" s="349" t="s">
        <v>247</v>
      </c>
      <c r="B28" s="350"/>
      <c r="C28" s="350"/>
      <c r="D28" s="308"/>
      <c r="E28" s="308"/>
      <c r="F28" s="308"/>
      <c r="G28" s="308"/>
    </row>
    <row r="29" spans="1:8" s="133" customFormat="1" ht="30.6">
      <c r="A29" s="403" t="s">
        <v>222</v>
      </c>
      <c r="B29" s="123">
        <f>B16+B17-B23</f>
        <v>0</v>
      </c>
      <c r="C29" s="123">
        <f>C16+C17-C23</f>
        <v>0</v>
      </c>
      <c r="D29" s="393"/>
      <c r="E29" s="393"/>
      <c r="F29" s="393"/>
      <c r="G29" s="393"/>
      <c r="H29" s="44"/>
    </row>
    <row r="30" spans="1:8" s="133" customFormat="1" ht="10.199999999999999">
      <c r="A30" s="421" t="s">
        <v>223</v>
      </c>
      <c r="B30" s="422"/>
      <c r="C30" s="422"/>
      <c r="D30" s="442"/>
      <c r="E30" s="442"/>
      <c r="F30" s="442"/>
      <c r="G30" s="442"/>
      <c r="H30" s="44"/>
    </row>
    <row r="31" spans="1:8" s="133" customFormat="1" ht="20.399999999999999">
      <c r="A31" s="470" t="s">
        <v>477</v>
      </c>
      <c r="B31" s="471">
        <f>C51</f>
        <v>1670864</v>
      </c>
      <c r="C31" s="471">
        <v>1635137</v>
      </c>
      <c r="D31" s="443"/>
      <c r="E31" s="443"/>
      <c r="F31" s="443"/>
      <c r="G31" s="443"/>
      <c r="H31" s="44"/>
    </row>
    <row r="32" spans="1:8" s="221" customFormat="1" ht="10.199999999999999" hidden="1" customHeight="1">
      <c r="A32" s="472" t="s">
        <v>531</v>
      </c>
      <c r="B32" s="473">
        <f>0</f>
        <v>0</v>
      </c>
      <c r="C32" s="473">
        <v>0</v>
      </c>
      <c r="D32" s="444"/>
      <c r="E32" s="444"/>
      <c r="F32" s="444"/>
      <c r="G32" s="444"/>
      <c r="H32" s="86"/>
    </row>
    <row r="33" spans="1:8" s="133" customFormat="1" ht="10.199999999999999" hidden="1" customHeight="1">
      <c r="A33" s="472" t="s">
        <v>613</v>
      </c>
      <c r="B33" s="473">
        <f>0</f>
        <v>0</v>
      </c>
      <c r="C33" s="473">
        <v>0</v>
      </c>
      <c r="D33" s="445"/>
      <c r="E33" s="445"/>
      <c r="F33" s="445"/>
      <c r="G33" s="445"/>
      <c r="H33" s="44"/>
    </row>
    <row r="34" spans="1:8" s="133" customFormat="1" ht="20.399999999999999" hidden="1" customHeight="1">
      <c r="A34" s="470" t="s">
        <v>614</v>
      </c>
      <c r="B34" s="471">
        <f>B31+B33+B32</f>
        <v>1670864</v>
      </c>
      <c r="C34" s="471">
        <f>C31+C33+C32</f>
        <v>1635137</v>
      </c>
      <c r="D34" s="445"/>
      <c r="E34" s="445"/>
      <c r="F34" s="445"/>
      <c r="G34" s="445"/>
      <c r="H34" s="44"/>
    </row>
    <row r="35" spans="1:8" s="133" customFormat="1" ht="10.199999999999999">
      <c r="A35" s="474" t="s">
        <v>102</v>
      </c>
      <c r="B35" s="475">
        <f>SUM(B36:B39)</f>
        <v>582727</v>
      </c>
      <c r="C35" s="475">
        <f>SUM(C36:C39)</f>
        <v>429099</v>
      </c>
      <c r="D35" s="445"/>
      <c r="E35" s="445"/>
      <c r="F35" s="445"/>
      <c r="G35" s="445"/>
      <c r="H35" s="44"/>
    </row>
    <row r="36" spans="1:8" s="133" customFormat="1" ht="20.399999999999999">
      <c r="A36" s="218" t="s">
        <v>758</v>
      </c>
      <c r="B36" s="473">
        <v>0</v>
      </c>
      <c r="C36" s="473">
        <v>251734</v>
      </c>
      <c r="D36" s="445"/>
      <c r="E36" s="445"/>
      <c r="F36" s="445"/>
      <c r="G36" s="445"/>
      <c r="H36" s="44"/>
    </row>
    <row r="37" spans="1:8" s="133" customFormat="1" ht="20.399999999999999">
      <c r="A37" s="218" t="s">
        <v>180</v>
      </c>
      <c r="B37" s="473">
        <v>582727</v>
      </c>
      <c r="C37" s="473">
        <v>177365</v>
      </c>
      <c r="D37" s="445"/>
      <c r="E37" s="445"/>
      <c r="F37" s="445"/>
      <c r="G37" s="445"/>
      <c r="H37" s="44"/>
    </row>
    <row r="38" spans="1:8" s="133" customFormat="1" ht="10.199999999999999" hidden="1">
      <c r="A38" s="476" t="s">
        <v>181</v>
      </c>
      <c r="B38" s="473">
        <v>0</v>
      </c>
      <c r="C38" s="473">
        <v>0</v>
      </c>
      <c r="D38" s="445"/>
      <c r="E38" s="445"/>
      <c r="F38" s="445"/>
      <c r="G38" s="445"/>
      <c r="H38" s="44"/>
    </row>
    <row r="39" spans="1:8" s="133" customFormat="1" ht="10.199999999999999">
      <c r="A39" s="476" t="s">
        <v>616</v>
      </c>
      <c r="B39" s="473">
        <v>0</v>
      </c>
      <c r="C39" s="473">
        <v>0</v>
      </c>
      <c r="D39" s="445"/>
      <c r="E39" s="445"/>
      <c r="F39" s="445"/>
      <c r="G39" s="445"/>
      <c r="H39" s="44"/>
    </row>
    <row r="40" spans="1:8" s="133" customFormat="1" ht="10.199999999999999" hidden="1">
      <c r="A40" s="476" t="s">
        <v>247</v>
      </c>
      <c r="B40" s="473">
        <v>0</v>
      </c>
      <c r="C40" s="473">
        <v>0</v>
      </c>
      <c r="D40" s="445"/>
      <c r="E40" s="445"/>
      <c r="F40" s="445"/>
      <c r="G40" s="445"/>
      <c r="H40" s="44"/>
    </row>
    <row r="41" spans="1:8" s="133" customFormat="1" ht="10.199999999999999" hidden="1">
      <c r="A41" s="476" t="s">
        <v>247</v>
      </c>
      <c r="B41" s="473">
        <v>0</v>
      </c>
      <c r="C41" s="473">
        <v>0</v>
      </c>
      <c r="D41" s="445"/>
      <c r="E41" s="445"/>
      <c r="F41" s="445"/>
      <c r="G41" s="445"/>
      <c r="H41" s="44"/>
    </row>
    <row r="42" spans="1:8" s="133" customFormat="1" ht="10.199999999999999">
      <c r="A42" s="474" t="s">
        <v>95</v>
      </c>
      <c r="B42" s="475">
        <f>SUM(B43:B50)</f>
        <v>805208</v>
      </c>
      <c r="C42" s="475">
        <f>SUM(C43:C50)</f>
        <v>393372</v>
      </c>
      <c r="D42" s="445"/>
      <c r="E42" s="445"/>
      <c r="F42" s="445"/>
      <c r="G42" s="445"/>
      <c r="H42" s="44"/>
    </row>
    <row r="43" spans="1:8" s="133" customFormat="1" ht="10.199999999999999">
      <c r="A43" s="476" t="s">
        <v>177</v>
      </c>
      <c r="B43" s="473">
        <v>303984</v>
      </c>
      <c r="C43" s="473">
        <v>190878</v>
      </c>
      <c r="D43" s="445"/>
      <c r="E43" s="445"/>
      <c r="F43" s="445"/>
      <c r="G43" s="445"/>
      <c r="H43" s="44"/>
    </row>
    <row r="44" spans="1:8" s="133" customFormat="1" ht="20.399999999999999">
      <c r="A44" s="476" t="s">
        <v>178</v>
      </c>
      <c r="B44" s="473">
        <v>83274</v>
      </c>
      <c r="C44" s="473">
        <v>123675</v>
      </c>
      <c r="D44" s="445"/>
      <c r="E44" s="445"/>
      <c r="F44" s="445"/>
      <c r="G44" s="445"/>
      <c r="H44" s="44"/>
    </row>
    <row r="45" spans="1:8" s="133" customFormat="1" ht="10.199999999999999" hidden="1">
      <c r="A45" s="476" t="s">
        <v>179</v>
      </c>
      <c r="B45" s="473"/>
      <c r="C45" s="473">
        <v>0</v>
      </c>
      <c r="D45" s="445"/>
      <c r="E45" s="445"/>
      <c r="F45" s="445"/>
      <c r="G45" s="445"/>
      <c r="H45" s="44"/>
    </row>
    <row r="46" spans="1:8" s="133" customFormat="1" ht="10.199999999999999" hidden="1">
      <c r="A46" s="476" t="s">
        <v>617</v>
      </c>
      <c r="B46" s="477"/>
      <c r="C46" s="477">
        <v>0</v>
      </c>
      <c r="D46" s="445"/>
      <c r="E46" s="445"/>
      <c r="F46" s="445"/>
      <c r="G46" s="445"/>
      <c r="H46" s="44"/>
    </row>
    <row r="47" spans="1:8" s="133" customFormat="1" ht="10.199999999999999">
      <c r="A47" s="476" t="s">
        <v>616</v>
      </c>
      <c r="B47" s="477">
        <v>1523</v>
      </c>
      <c r="C47" s="477">
        <v>971</v>
      </c>
      <c r="D47" s="445"/>
      <c r="E47" s="445"/>
      <c r="F47" s="445"/>
      <c r="G47" s="445"/>
      <c r="H47" s="44"/>
    </row>
    <row r="48" spans="1:8" s="133" customFormat="1" ht="10.199999999999999">
      <c r="A48" s="476" t="s">
        <v>618</v>
      </c>
      <c r="B48" s="477">
        <v>103986</v>
      </c>
      <c r="C48" s="477">
        <v>75375</v>
      </c>
      <c r="D48" s="445"/>
      <c r="E48" s="445"/>
      <c r="F48" s="445"/>
      <c r="G48" s="445"/>
      <c r="H48" s="44"/>
    </row>
    <row r="49" spans="1:8" s="133" customFormat="1" ht="10.199999999999999">
      <c r="A49" s="476" t="s">
        <v>475</v>
      </c>
      <c r="B49" s="477">
        <v>0</v>
      </c>
      <c r="C49" s="477">
        <v>2473</v>
      </c>
      <c r="D49" s="445"/>
      <c r="E49" s="445"/>
      <c r="F49" s="445"/>
      <c r="G49" s="445"/>
      <c r="H49" s="44"/>
    </row>
    <row r="50" spans="1:8" s="133" customFormat="1" ht="10.199999999999999">
      <c r="A50" s="476" t="s">
        <v>615</v>
      </c>
      <c r="B50" s="477">
        <v>312441</v>
      </c>
      <c r="C50" s="477">
        <v>0</v>
      </c>
      <c r="D50" s="445"/>
      <c r="E50" s="445"/>
      <c r="F50" s="445"/>
      <c r="G50" s="445"/>
      <c r="H50" s="44"/>
    </row>
    <row r="51" spans="1:8" s="133" customFormat="1" ht="30.6">
      <c r="A51" s="478" t="s">
        <v>224</v>
      </c>
      <c r="B51" s="479">
        <f>B34+B35-B42</f>
        <v>1448383</v>
      </c>
      <c r="C51" s="479">
        <f>C34+C35-C42</f>
        <v>1670864</v>
      </c>
      <c r="D51" s="445"/>
      <c r="E51" s="445"/>
      <c r="F51" s="445"/>
      <c r="G51" s="445"/>
      <c r="H51" s="44"/>
    </row>
    <row r="52" spans="1:8" s="221" customFormat="1" ht="10.199999999999999">
      <c r="A52" s="480"/>
      <c r="B52" s="481"/>
      <c r="C52" s="481"/>
      <c r="D52" s="444"/>
      <c r="E52" s="444"/>
      <c r="F52" s="444"/>
      <c r="G52" s="444"/>
      <c r="H52" s="86"/>
    </row>
    <row r="53" spans="1:8" s="133" customFormat="1" ht="20.399999999999999">
      <c r="A53" s="482" t="s">
        <v>225</v>
      </c>
      <c r="B53" s="347">
        <f>B51+B29</f>
        <v>1448383</v>
      </c>
      <c r="C53" s="347">
        <f>C51+C29</f>
        <v>1670864</v>
      </c>
      <c r="D53" s="445"/>
      <c r="E53" s="445"/>
      <c r="F53" s="445"/>
      <c r="G53" s="445"/>
      <c r="H53" s="44"/>
    </row>
    <row r="54" spans="1:8" s="133" customFormat="1" ht="10.199999999999999">
      <c r="A54" s="483"/>
      <c r="B54" s="393"/>
      <c r="C54" s="393"/>
      <c r="D54" s="445"/>
      <c r="E54" s="445"/>
      <c r="F54" s="445"/>
      <c r="G54" s="445"/>
      <c r="H54" s="44"/>
    </row>
    <row r="55" spans="1:8" s="133" customFormat="1" ht="10.199999999999999" customHeight="1">
      <c r="A55" s="709"/>
      <c r="B55" s="709"/>
      <c r="C55" s="709"/>
      <c r="D55" s="445"/>
      <c r="E55" s="445"/>
      <c r="F55" s="445"/>
      <c r="G55" s="445"/>
      <c r="H55" s="44"/>
    </row>
    <row r="56" spans="1:8" s="133" customFormat="1" ht="10.199999999999999" hidden="1" customHeight="1">
      <c r="A56" s="484"/>
      <c r="B56" s="485">
        <f>B8-B53</f>
        <v>0</v>
      </c>
      <c r="C56" s="485">
        <f>C8-C53</f>
        <v>0</v>
      </c>
      <c r="D56" s="445"/>
      <c r="E56" s="445"/>
      <c r="F56" s="445"/>
      <c r="G56" s="445"/>
      <c r="H56" s="44"/>
    </row>
    <row r="57" spans="1:8" s="133" customFormat="1" ht="10.199999999999999" hidden="1" customHeight="1">
      <c r="A57" s="486" t="s">
        <v>247</v>
      </c>
      <c r="B57" s="362"/>
      <c r="C57" s="362"/>
      <c r="D57" s="445"/>
      <c r="E57" s="445"/>
      <c r="F57" s="445"/>
      <c r="G57" s="445"/>
      <c r="H57" s="44"/>
    </row>
    <row r="58" spans="1:8" s="133" customFormat="1" ht="10.199999999999999">
      <c r="A58" s="483"/>
      <c r="B58" s="393"/>
      <c r="C58" s="393"/>
      <c r="D58" s="393"/>
      <c r="E58" s="393"/>
      <c r="F58" s="393"/>
      <c r="G58" s="393"/>
      <c r="H58" s="44"/>
    </row>
    <row r="59" spans="1:8" s="44" customFormat="1" ht="10.199999999999999">
      <c r="A59" s="121"/>
      <c r="B59" s="301"/>
      <c r="C59" s="301"/>
      <c r="D59" s="301"/>
      <c r="E59" s="301"/>
      <c r="F59" s="301"/>
      <c r="G59" s="301"/>
    </row>
    <row r="60" spans="1:8" s="44" customFormat="1" ht="10.199999999999999">
      <c r="A60" s="121"/>
      <c r="B60" s="355"/>
      <c r="C60" s="355"/>
      <c r="D60" s="355"/>
      <c r="E60" s="355"/>
      <c r="F60" s="355"/>
      <c r="G60" s="355"/>
    </row>
    <row r="61" spans="1:8" s="44" customFormat="1" ht="20.399999999999999">
      <c r="A61" s="111" t="s">
        <v>1021</v>
      </c>
    </row>
    <row r="62" spans="1:8" s="44" customFormat="1" ht="10.199999999999999" customHeight="1">
      <c r="A62" s="702" t="s">
        <v>294</v>
      </c>
      <c r="B62" s="704" t="s">
        <v>25</v>
      </c>
      <c r="C62" s="700" t="s">
        <v>495</v>
      </c>
      <c r="D62" s="700" t="s">
        <v>571</v>
      </c>
      <c r="E62" s="700" t="s">
        <v>572</v>
      </c>
      <c r="F62" s="700" t="s">
        <v>220</v>
      </c>
      <c r="G62" s="700" t="s">
        <v>573</v>
      </c>
      <c r="H62" s="700" t="s">
        <v>579</v>
      </c>
    </row>
    <row r="63" spans="1:8" s="44" customFormat="1" ht="10.199999999999999">
      <c r="A63" s="703"/>
      <c r="B63" s="705"/>
      <c r="C63" s="701"/>
      <c r="D63" s="701"/>
      <c r="E63" s="701"/>
      <c r="F63" s="701"/>
      <c r="G63" s="701"/>
      <c r="H63" s="701"/>
    </row>
    <row r="64" spans="1:8" s="44" customFormat="1" ht="10.199999999999999">
      <c r="A64" s="446" t="s">
        <v>580</v>
      </c>
      <c r="B64" s="447"/>
      <c r="C64" s="447"/>
      <c r="D64" s="447"/>
      <c r="E64" s="447"/>
      <c r="F64" s="447"/>
      <c r="G64" s="447"/>
      <c r="H64" s="447"/>
    </row>
    <row r="65" spans="1:183" s="44" customFormat="1" ht="10.199999999999999">
      <c r="A65" s="36" t="s">
        <v>581</v>
      </c>
      <c r="B65" s="125">
        <f>SUM(H65:H65)</f>
        <v>0</v>
      </c>
      <c r="C65" s="125">
        <v>0</v>
      </c>
      <c r="D65" s="125">
        <v>0</v>
      </c>
      <c r="E65" s="125">
        <v>0</v>
      </c>
      <c r="F65" s="125">
        <v>0</v>
      </c>
      <c r="G65" s="125">
        <v>0</v>
      </c>
      <c r="H65" s="126">
        <v>0</v>
      </c>
      <c r="N65" s="671"/>
      <c r="O65" s="671"/>
      <c r="P65" s="671"/>
      <c r="Q65" s="671"/>
      <c r="R65" s="671"/>
      <c r="S65" s="671"/>
      <c r="T65" s="671"/>
      <c r="U65" s="671"/>
      <c r="V65" s="671"/>
      <c r="W65" s="671"/>
      <c r="X65" s="671"/>
      <c r="Y65" s="671"/>
      <c r="Z65" s="671"/>
      <c r="AA65" s="671"/>
      <c r="AB65" s="671"/>
      <c r="AC65" s="671"/>
      <c r="AD65" s="671"/>
      <c r="AE65" s="671"/>
      <c r="AF65" s="671"/>
      <c r="AG65" s="671"/>
      <c r="AH65" s="671"/>
      <c r="AI65" s="671"/>
      <c r="AJ65" s="671"/>
      <c r="AK65" s="671"/>
      <c r="AL65" s="671"/>
      <c r="AM65" s="671"/>
      <c r="AN65" s="671"/>
      <c r="AO65" s="671"/>
      <c r="AP65" s="671"/>
      <c r="AQ65" s="671"/>
      <c r="AR65" s="671"/>
      <c r="AS65" s="671"/>
      <c r="AT65" s="671"/>
      <c r="AU65" s="671"/>
      <c r="AV65" s="671"/>
      <c r="AW65" s="671"/>
      <c r="AX65" s="671"/>
      <c r="AY65" s="671"/>
      <c r="AZ65" s="671"/>
      <c r="BA65" s="671"/>
      <c r="BB65" s="671"/>
      <c r="BC65" s="671"/>
      <c r="BD65" s="671"/>
      <c r="BE65" s="671"/>
      <c r="BF65" s="671"/>
      <c r="BG65" s="671"/>
      <c r="BH65" s="671"/>
      <c r="BI65" s="671"/>
      <c r="BJ65" s="671"/>
      <c r="BK65" s="671"/>
      <c r="BL65" s="671"/>
      <c r="BM65" s="671"/>
      <c r="BN65" s="671"/>
      <c r="BO65" s="671"/>
      <c r="BP65" s="671"/>
      <c r="BQ65" s="671"/>
      <c r="BR65" s="671"/>
      <c r="BS65" s="671"/>
      <c r="BT65" s="671"/>
      <c r="BU65" s="671"/>
      <c r="BV65" s="671"/>
      <c r="BW65" s="671"/>
      <c r="BX65" s="671"/>
      <c r="BY65" s="671"/>
      <c r="BZ65" s="671"/>
      <c r="CA65" s="671"/>
      <c r="CB65" s="671"/>
      <c r="CC65" s="671"/>
      <c r="CD65" s="671"/>
      <c r="CE65" s="671"/>
      <c r="CF65" s="671"/>
      <c r="CG65" s="671"/>
      <c r="CH65" s="671"/>
      <c r="CI65" s="671"/>
      <c r="CJ65" s="671"/>
      <c r="CK65" s="671"/>
      <c r="CL65" s="671"/>
      <c r="CM65" s="671"/>
      <c r="CN65" s="671"/>
      <c r="CO65" s="671"/>
      <c r="CP65" s="671"/>
      <c r="CQ65" s="671"/>
      <c r="CR65" s="671"/>
      <c r="CS65" s="671"/>
      <c r="CT65" s="671"/>
      <c r="CU65" s="671"/>
      <c r="CV65" s="671"/>
      <c r="CW65" s="671"/>
      <c r="CX65" s="671"/>
      <c r="CY65" s="671"/>
      <c r="CZ65" s="671"/>
      <c r="DA65" s="671"/>
      <c r="DB65" s="671"/>
      <c r="DC65" s="671"/>
      <c r="DD65" s="671"/>
      <c r="DE65" s="671"/>
      <c r="DF65" s="671"/>
      <c r="DG65" s="671"/>
      <c r="DH65" s="671"/>
      <c r="DI65" s="671"/>
      <c r="DJ65" s="671"/>
      <c r="DK65" s="671"/>
      <c r="DL65" s="671"/>
      <c r="DM65" s="671"/>
      <c r="DN65" s="671"/>
      <c r="DO65" s="671"/>
      <c r="DP65" s="671"/>
      <c r="DQ65" s="671"/>
      <c r="DR65" s="671"/>
      <c r="DS65" s="671"/>
      <c r="DT65" s="671"/>
      <c r="DU65" s="671"/>
      <c r="DV65" s="671"/>
      <c r="DW65" s="671"/>
      <c r="DX65" s="671"/>
      <c r="DY65" s="671"/>
      <c r="DZ65" s="671"/>
      <c r="EA65" s="671"/>
      <c r="EB65" s="671"/>
      <c r="EC65" s="671"/>
      <c r="ED65" s="671"/>
      <c r="EE65" s="671"/>
      <c r="EF65" s="671"/>
      <c r="EG65" s="671"/>
      <c r="EH65" s="671"/>
      <c r="EI65" s="671"/>
      <c r="EJ65" s="671"/>
      <c r="EK65" s="671"/>
      <c r="EL65" s="671"/>
      <c r="EM65" s="671"/>
      <c r="EN65" s="671"/>
      <c r="EO65" s="671"/>
      <c r="EP65" s="671"/>
      <c r="EQ65" s="671"/>
      <c r="ER65" s="671"/>
      <c r="ES65" s="671"/>
      <c r="ET65" s="671"/>
      <c r="EU65" s="671"/>
      <c r="EV65" s="671"/>
      <c r="EW65" s="671"/>
      <c r="EX65" s="671"/>
      <c r="EY65" s="671"/>
      <c r="EZ65" s="671"/>
      <c r="FA65" s="671"/>
      <c r="FB65" s="671"/>
      <c r="FC65" s="671"/>
      <c r="FD65" s="671"/>
      <c r="FE65" s="671"/>
      <c r="FF65" s="671"/>
      <c r="FG65" s="671"/>
      <c r="FH65" s="671"/>
      <c r="FI65" s="671"/>
      <c r="FJ65" s="671"/>
      <c r="FK65" s="671"/>
      <c r="FL65" s="671"/>
      <c r="FM65" s="671"/>
      <c r="FN65" s="671"/>
      <c r="FO65" s="671"/>
      <c r="FP65" s="671"/>
      <c r="FQ65" s="671"/>
      <c r="FR65" s="671"/>
      <c r="FS65" s="671"/>
      <c r="FT65" s="671"/>
      <c r="FU65" s="671"/>
      <c r="FV65" s="671"/>
      <c r="FW65" s="671"/>
      <c r="FX65" s="671"/>
      <c r="FY65" s="671"/>
      <c r="FZ65" s="671"/>
      <c r="GA65" s="671"/>
    </row>
    <row r="66" spans="1:183" s="44" customFormat="1" ht="10.199999999999999">
      <c r="A66" s="36" t="s">
        <v>582</v>
      </c>
      <c r="B66" s="125"/>
      <c r="C66" s="125"/>
      <c r="D66" s="125"/>
      <c r="E66" s="125"/>
      <c r="F66" s="125"/>
      <c r="G66" s="125"/>
      <c r="H66" s="126"/>
      <c r="N66" s="671"/>
      <c r="O66" s="671"/>
      <c r="P66" s="671"/>
      <c r="Q66" s="671"/>
      <c r="R66" s="671"/>
      <c r="S66" s="671"/>
      <c r="T66" s="671"/>
      <c r="U66" s="671"/>
      <c r="V66" s="671"/>
      <c r="W66" s="671"/>
      <c r="X66" s="671"/>
      <c r="Y66" s="671"/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1"/>
      <c r="AK66" s="671"/>
      <c r="AL66" s="671"/>
      <c r="AM66" s="671"/>
      <c r="AN66" s="671"/>
      <c r="AO66" s="671"/>
      <c r="AP66" s="671"/>
      <c r="AQ66" s="671"/>
      <c r="AR66" s="671"/>
      <c r="AS66" s="671"/>
      <c r="AT66" s="671"/>
      <c r="AU66" s="671"/>
      <c r="AV66" s="671"/>
      <c r="AW66" s="671"/>
      <c r="AX66" s="671"/>
      <c r="AY66" s="671"/>
      <c r="AZ66" s="671"/>
      <c r="BA66" s="671"/>
      <c r="BB66" s="671"/>
      <c r="BC66" s="671"/>
      <c r="BD66" s="671"/>
      <c r="BE66" s="671"/>
      <c r="BF66" s="671"/>
      <c r="BG66" s="671"/>
      <c r="BH66" s="671"/>
      <c r="BI66" s="671"/>
      <c r="BJ66" s="671"/>
      <c r="BK66" s="671"/>
      <c r="BL66" s="671"/>
      <c r="BM66" s="671"/>
      <c r="BN66" s="671"/>
      <c r="BO66" s="671"/>
      <c r="BP66" s="671"/>
      <c r="BQ66" s="671"/>
      <c r="BR66" s="671"/>
      <c r="BS66" s="671"/>
      <c r="BT66" s="671"/>
      <c r="BU66" s="671"/>
      <c r="BV66" s="671"/>
      <c r="BW66" s="671"/>
      <c r="BX66" s="671"/>
      <c r="BY66" s="671"/>
      <c r="BZ66" s="671"/>
      <c r="CA66" s="671"/>
      <c r="CB66" s="671"/>
      <c r="CC66" s="671"/>
      <c r="CD66" s="671"/>
      <c r="CE66" s="671"/>
      <c r="CF66" s="671"/>
      <c r="CG66" s="671"/>
      <c r="CH66" s="671"/>
      <c r="CI66" s="671"/>
      <c r="CJ66" s="671"/>
      <c r="CK66" s="671"/>
      <c r="CL66" s="671"/>
      <c r="CM66" s="671"/>
      <c r="CN66" s="671"/>
      <c r="CO66" s="671"/>
      <c r="CP66" s="671"/>
      <c r="CQ66" s="671"/>
      <c r="CR66" s="671"/>
      <c r="CS66" s="671"/>
      <c r="CT66" s="671"/>
      <c r="CU66" s="671"/>
      <c r="CV66" s="671"/>
      <c r="CW66" s="671"/>
      <c r="CX66" s="671"/>
      <c r="CY66" s="671"/>
      <c r="CZ66" s="671"/>
      <c r="DA66" s="671"/>
      <c r="DB66" s="671"/>
      <c r="DC66" s="671"/>
      <c r="DD66" s="671"/>
      <c r="DE66" s="671"/>
      <c r="DF66" s="671"/>
      <c r="DG66" s="671"/>
      <c r="DH66" s="671"/>
      <c r="DI66" s="671"/>
      <c r="DJ66" s="671"/>
      <c r="DK66" s="671"/>
      <c r="DL66" s="671"/>
      <c r="DM66" s="671"/>
      <c r="DN66" s="671"/>
      <c r="DO66" s="671"/>
      <c r="DP66" s="671"/>
      <c r="DQ66" s="671"/>
      <c r="DR66" s="671"/>
      <c r="DS66" s="671"/>
      <c r="DT66" s="671"/>
      <c r="DU66" s="671"/>
      <c r="DV66" s="671"/>
      <c r="DW66" s="671"/>
      <c r="DX66" s="671"/>
      <c r="DY66" s="671"/>
      <c r="DZ66" s="671"/>
      <c r="EA66" s="671"/>
      <c r="EB66" s="671"/>
      <c r="EC66" s="671"/>
      <c r="ED66" s="671"/>
      <c r="EE66" s="671"/>
      <c r="EF66" s="671"/>
      <c r="EG66" s="671"/>
      <c r="EH66" s="671"/>
      <c r="EI66" s="671"/>
      <c r="EJ66" s="671"/>
      <c r="EK66" s="671"/>
      <c r="EL66" s="671"/>
      <c r="EM66" s="671"/>
      <c r="EN66" s="671"/>
      <c r="EO66" s="671"/>
      <c r="EP66" s="671"/>
      <c r="EQ66" s="671"/>
      <c r="ER66" s="671"/>
      <c r="ES66" s="671"/>
      <c r="ET66" s="671"/>
      <c r="EU66" s="671"/>
      <c r="EV66" s="671"/>
      <c r="EW66" s="671"/>
      <c r="EX66" s="671"/>
      <c r="EY66" s="671"/>
      <c r="EZ66" s="671"/>
      <c r="FA66" s="671"/>
      <c r="FB66" s="671"/>
      <c r="FC66" s="671"/>
      <c r="FD66" s="671"/>
      <c r="FE66" s="671"/>
      <c r="FF66" s="671"/>
      <c r="FG66" s="671"/>
      <c r="FH66" s="671"/>
      <c r="FI66" s="671"/>
      <c r="FJ66" s="671"/>
      <c r="FK66" s="671"/>
      <c r="FL66" s="671"/>
      <c r="FM66" s="671"/>
      <c r="FN66" s="671"/>
      <c r="FO66" s="671"/>
      <c r="FP66" s="671"/>
      <c r="FQ66" s="671"/>
      <c r="FR66" s="671"/>
      <c r="FS66" s="671"/>
      <c r="FT66" s="671"/>
      <c r="FU66" s="671"/>
      <c r="FV66" s="671"/>
      <c r="FW66" s="671"/>
      <c r="FX66" s="671"/>
      <c r="FY66" s="671"/>
      <c r="FZ66" s="671"/>
      <c r="GA66" s="671"/>
    </row>
    <row r="67" spans="1:183" s="44" customFormat="1" ht="10.199999999999999">
      <c r="A67" s="60" t="s">
        <v>583</v>
      </c>
      <c r="B67" s="125">
        <f>B65-B66</f>
        <v>0</v>
      </c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5">
        <f>H65-H66</f>
        <v>0</v>
      </c>
      <c r="N67" s="671"/>
      <c r="O67" s="671"/>
      <c r="P67" s="671"/>
      <c r="Q67" s="671"/>
      <c r="R67" s="671"/>
      <c r="S67" s="671"/>
      <c r="T67" s="671"/>
      <c r="U67" s="671"/>
      <c r="V67" s="671"/>
      <c r="W67" s="671"/>
      <c r="X67" s="671"/>
      <c r="Y67" s="671"/>
      <c r="Z67" s="671"/>
      <c r="AA67" s="671"/>
      <c r="AB67" s="671"/>
      <c r="AC67" s="671"/>
      <c r="AD67" s="671"/>
      <c r="AE67" s="671"/>
      <c r="AF67" s="671"/>
      <c r="AG67" s="671"/>
      <c r="AH67" s="671"/>
      <c r="AI67" s="671"/>
      <c r="AJ67" s="671"/>
      <c r="AK67" s="671"/>
      <c r="AL67" s="671"/>
      <c r="AM67" s="671"/>
      <c r="AN67" s="671"/>
      <c r="AO67" s="671"/>
      <c r="AP67" s="671"/>
      <c r="AQ67" s="671"/>
      <c r="AR67" s="671"/>
      <c r="AS67" s="671"/>
      <c r="AT67" s="671"/>
      <c r="AU67" s="671"/>
      <c r="AV67" s="671"/>
      <c r="AW67" s="671"/>
      <c r="AX67" s="671"/>
      <c r="AY67" s="671"/>
      <c r="AZ67" s="671"/>
      <c r="BA67" s="671"/>
      <c r="BB67" s="671"/>
      <c r="BC67" s="671"/>
      <c r="BD67" s="671"/>
      <c r="BE67" s="671"/>
      <c r="BF67" s="671"/>
      <c r="BG67" s="671"/>
      <c r="BH67" s="671"/>
      <c r="BI67" s="671"/>
      <c r="BJ67" s="671"/>
      <c r="BK67" s="671"/>
      <c r="BL67" s="671"/>
      <c r="BM67" s="671"/>
      <c r="BN67" s="671"/>
      <c r="BO67" s="671"/>
      <c r="BP67" s="671"/>
      <c r="BQ67" s="671"/>
      <c r="BR67" s="671"/>
      <c r="BS67" s="671"/>
      <c r="BT67" s="671"/>
      <c r="BU67" s="671"/>
      <c r="BV67" s="671"/>
      <c r="BW67" s="671"/>
      <c r="BX67" s="671"/>
      <c r="BY67" s="671"/>
      <c r="BZ67" s="671"/>
      <c r="CA67" s="671"/>
      <c r="CB67" s="671"/>
      <c r="CC67" s="671"/>
      <c r="CD67" s="671"/>
      <c r="CE67" s="671"/>
      <c r="CF67" s="671"/>
      <c r="CG67" s="671"/>
      <c r="CH67" s="671"/>
      <c r="CI67" s="671"/>
      <c r="CJ67" s="671"/>
      <c r="CK67" s="671"/>
      <c r="CL67" s="671"/>
      <c r="CM67" s="671"/>
      <c r="CN67" s="671"/>
      <c r="CO67" s="671"/>
      <c r="CP67" s="671"/>
      <c r="CQ67" s="671"/>
      <c r="CR67" s="671"/>
      <c r="CS67" s="671"/>
      <c r="CT67" s="671"/>
      <c r="CU67" s="671"/>
      <c r="CV67" s="671"/>
      <c r="CW67" s="671"/>
      <c r="CX67" s="671"/>
      <c r="CY67" s="671"/>
      <c r="CZ67" s="671"/>
      <c r="DA67" s="671"/>
      <c r="DB67" s="671"/>
      <c r="DC67" s="671"/>
      <c r="DD67" s="671"/>
      <c r="DE67" s="671"/>
      <c r="DF67" s="671"/>
      <c r="DG67" s="671"/>
      <c r="DH67" s="671"/>
      <c r="DI67" s="671"/>
      <c r="DJ67" s="671"/>
      <c r="DK67" s="671"/>
      <c r="DL67" s="671"/>
      <c r="DM67" s="671"/>
      <c r="DN67" s="671"/>
      <c r="DO67" s="671"/>
      <c r="DP67" s="671"/>
      <c r="DQ67" s="671"/>
      <c r="DR67" s="671"/>
      <c r="DS67" s="671"/>
      <c r="DT67" s="671"/>
      <c r="DU67" s="671"/>
      <c r="DV67" s="671"/>
      <c r="DW67" s="671"/>
      <c r="DX67" s="671"/>
      <c r="DY67" s="671"/>
      <c r="DZ67" s="671"/>
      <c r="EA67" s="671"/>
      <c r="EB67" s="671"/>
      <c r="EC67" s="671"/>
      <c r="ED67" s="671"/>
      <c r="EE67" s="671"/>
      <c r="EF67" s="671"/>
      <c r="EG67" s="671"/>
      <c r="EH67" s="671"/>
      <c r="EI67" s="671"/>
      <c r="EJ67" s="671"/>
      <c r="EK67" s="671"/>
      <c r="EL67" s="671"/>
      <c r="EM67" s="671"/>
      <c r="EN67" s="671"/>
      <c r="EO67" s="671"/>
      <c r="EP67" s="671"/>
      <c r="EQ67" s="671"/>
      <c r="ER67" s="671"/>
      <c r="ES67" s="671"/>
      <c r="ET67" s="671"/>
      <c r="EU67" s="671"/>
      <c r="EV67" s="671"/>
      <c r="EW67" s="671"/>
      <c r="EX67" s="671"/>
      <c r="EY67" s="671"/>
      <c r="EZ67" s="671"/>
      <c r="FA67" s="671"/>
      <c r="FB67" s="671"/>
      <c r="FC67" s="671"/>
      <c r="FD67" s="671"/>
      <c r="FE67" s="671"/>
      <c r="FF67" s="671"/>
      <c r="FG67" s="671"/>
      <c r="FH67" s="671"/>
      <c r="FI67" s="671"/>
      <c r="FJ67" s="671"/>
      <c r="FK67" s="671"/>
      <c r="FL67" s="671"/>
      <c r="FM67" s="671"/>
      <c r="FN67" s="671"/>
      <c r="FO67" s="671"/>
      <c r="FP67" s="671"/>
      <c r="FQ67" s="671"/>
      <c r="FR67" s="671"/>
      <c r="FS67" s="671"/>
      <c r="FT67" s="671"/>
      <c r="FU67" s="671"/>
      <c r="FV67" s="671"/>
      <c r="FW67" s="671"/>
      <c r="FX67" s="671"/>
      <c r="FY67" s="671"/>
      <c r="FZ67" s="671"/>
      <c r="GA67" s="671"/>
    </row>
    <row r="68" spans="1:183" s="446" customFormat="1" ht="10.199999999999999">
      <c r="A68" s="448" t="s">
        <v>223</v>
      </c>
      <c r="B68" s="449"/>
      <c r="C68" s="449"/>
      <c r="D68" s="449"/>
      <c r="E68" s="449"/>
      <c r="F68" s="449"/>
      <c r="G68" s="449"/>
      <c r="H68" s="449"/>
      <c r="I68" s="449"/>
      <c r="J68" s="449"/>
      <c r="K68" s="449"/>
      <c r="L68" s="449"/>
      <c r="M68" s="449"/>
      <c r="N68" s="671"/>
      <c r="O68" s="671"/>
      <c r="P68" s="671"/>
      <c r="Q68" s="671"/>
      <c r="R68" s="671"/>
      <c r="S68" s="671"/>
      <c r="T68" s="671"/>
      <c r="U68" s="671"/>
      <c r="V68" s="671"/>
      <c r="W68" s="671"/>
      <c r="X68" s="671"/>
      <c r="Y68" s="671"/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1"/>
      <c r="AK68" s="671"/>
      <c r="AL68" s="671"/>
      <c r="AM68" s="671"/>
      <c r="AN68" s="671"/>
      <c r="AO68" s="671"/>
      <c r="AP68" s="671"/>
      <c r="AQ68" s="671"/>
      <c r="AR68" s="671"/>
      <c r="AS68" s="671"/>
      <c r="AT68" s="671"/>
      <c r="AU68" s="671"/>
      <c r="AV68" s="671"/>
      <c r="AW68" s="671"/>
      <c r="AX68" s="671"/>
      <c r="AY68" s="671"/>
      <c r="AZ68" s="671"/>
      <c r="BA68" s="671"/>
      <c r="BB68" s="671"/>
      <c r="BC68" s="671"/>
      <c r="BD68" s="671"/>
      <c r="BE68" s="671"/>
      <c r="BF68" s="671"/>
      <c r="BG68" s="671"/>
      <c r="BH68" s="671"/>
      <c r="BI68" s="671"/>
      <c r="BJ68" s="671"/>
      <c r="BK68" s="671"/>
      <c r="BL68" s="671"/>
      <c r="BM68" s="671"/>
      <c r="BN68" s="671"/>
      <c r="BO68" s="671"/>
      <c r="BP68" s="671"/>
      <c r="BQ68" s="671"/>
      <c r="BR68" s="671"/>
      <c r="BS68" s="671"/>
      <c r="BT68" s="671"/>
      <c r="BU68" s="671"/>
      <c r="BV68" s="671"/>
      <c r="BW68" s="671"/>
      <c r="BX68" s="671"/>
      <c r="BY68" s="671"/>
      <c r="BZ68" s="671"/>
      <c r="CA68" s="671"/>
      <c r="CB68" s="671"/>
      <c r="CC68" s="671"/>
      <c r="CD68" s="671"/>
      <c r="CE68" s="671"/>
      <c r="CF68" s="671"/>
      <c r="CG68" s="671"/>
      <c r="CH68" s="671"/>
      <c r="CI68" s="671"/>
      <c r="CJ68" s="671"/>
      <c r="CK68" s="671"/>
      <c r="CL68" s="671"/>
      <c r="CM68" s="671"/>
      <c r="CN68" s="671"/>
      <c r="CO68" s="671"/>
      <c r="CP68" s="671"/>
      <c r="CQ68" s="671"/>
      <c r="CR68" s="671"/>
      <c r="CS68" s="671"/>
      <c r="CT68" s="671"/>
      <c r="CU68" s="671"/>
      <c r="CV68" s="671"/>
      <c r="CW68" s="671"/>
      <c r="CX68" s="671"/>
      <c r="CY68" s="671"/>
      <c r="CZ68" s="671"/>
      <c r="DA68" s="671"/>
      <c r="DB68" s="671"/>
      <c r="DC68" s="671"/>
      <c r="DD68" s="671"/>
      <c r="DE68" s="671"/>
      <c r="DF68" s="671"/>
      <c r="DG68" s="671"/>
      <c r="DH68" s="671"/>
      <c r="DI68" s="671"/>
      <c r="DJ68" s="671"/>
      <c r="DK68" s="671"/>
      <c r="DL68" s="671"/>
      <c r="DM68" s="671"/>
      <c r="DN68" s="671"/>
      <c r="DO68" s="671"/>
      <c r="DP68" s="671"/>
      <c r="DQ68" s="671"/>
      <c r="DR68" s="671"/>
      <c r="DS68" s="671"/>
      <c r="DT68" s="671"/>
      <c r="DU68" s="671"/>
      <c r="DV68" s="671"/>
      <c r="DW68" s="671"/>
      <c r="DX68" s="671"/>
      <c r="DY68" s="671"/>
      <c r="DZ68" s="671"/>
      <c r="EA68" s="671"/>
      <c r="EB68" s="671"/>
      <c r="EC68" s="671"/>
      <c r="ED68" s="671"/>
      <c r="EE68" s="671"/>
      <c r="EF68" s="671"/>
      <c r="EG68" s="671"/>
      <c r="EH68" s="671"/>
      <c r="EI68" s="671"/>
      <c r="EJ68" s="671"/>
      <c r="EK68" s="671"/>
      <c r="EL68" s="671"/>
      <c r="EM68" s="671"/>
      <c r="EN68" s="671"/>
      <c r="EO68" s="671"/>
      <c r="EP68" s="671"/>
      <c r="EQ68" s="671"/>
      <c r="ER68" s="671"/>
      <c r="ES68" s="671"/>
      <c r="ET68" s="671"/>
      <c r="EU68" s="671"/>
      <c r="EV68" s="671"/>
      <c r="EW68" s="671"/>
      <c r="EX68" s="671"/>
      <c r="EY68" s="671"/>
      <c r="EZ68" s="671"/>
      <c r="FA68" s="671"/>
      <c r="FB68" s="671"/>
      <c r="FC68" s="671"/>
      <c r="FD68" s="671"/>
      <c r="FE68" s="671"/>
      <c r="FF68" s="671"/>
      <c r="FG68" s="671"/>
      <c r="FH68" s="671"/>
      <c r="FI68" s="671"/>
      <c r="FJ68" s="671"/>
      <c r="FK68" s="671"/>
      <c r="FL68" s="671"/>
      <c r="FM68" s="671"/>
      <c r="FN68" s="671"/>
      <c r="FO68" s="671"/>
      <c r="FP68" s="671"/>
      <c r="FQ68" s="671"/>
      <c r="FR68" s="671"/>
      <c r="FS68" s="671"/>
      <c r="FT68" s="671"/>
      <c r="FU68" s="671"/>
      <c r="FV68" s="671"/>
      <c r="FW68" s="671"/>
      <c r="FX68" s="671"/>
      <c r="FY68" s="671"/>
      <c r="FZ68" s="671"/>
      <c r="GA68" s="671"/>
    </row>
    <row r="69" spans="1:183" s="44" customFormat="1" ht="10.199999999999999">
      <c r="A69" s="36" t="s">
        <v>581</v>
      </c>
      <c r="B69" s="125">
        <f>SUM(C69:H69)</f>
        <v>16408405</v>
      </c>
      <c r="C69" s="618">
        <f>12242926+2</f>
        <v>12242928</v>
      </c>
      <c r="D69" s="618">
        <v>2334255</v>
      </c>
      <c r="E69" s="618">
        <v>290408</v>
      </c>
      <c r="F69" s="618">
        <v>269252</v>
      </c>
      <c r="G69" s="618">
        <v>342237</v>
      </c>
      <c r="H69" s="618">
        <v>929325</v>
      </c>
      <c r="K69" s="355"/>
      <c r="N69" s="671"/>
      <c r="O69" s="671"/>
      <c r="P69" s="671"/>
      <c r="Q69" s="671"/>
      <c r="R69" s="671"/>
      <c r="S69" s="671"/>
      <c r="T69" s="671"/>
      <c r="U69" s="671"/>
      <c r="V69" s="671"/>
      <c r="W69" s="671"/>
      <c r="X69" s="671"/>
      <c r="Y69" s="671"/>
      <c r="Z69" s="671"/>
      <c r="AA69" s="671"/>
      <c r="AB69" s="671"/>
      <c r="AC69" s="671"/>
      <c r="AD69" s="671"/>
      <c r="AE69" s="671"/>
      <c r="AF69" s="671"/>
      <c r="AG69" s="671"/>
      <c r="AH69" s="671"/>
      <c r="AI69" s="671"/>
      <c r="AJ69" s="671"/>
      <c r="AK69" s="671"/>
      <c r="AL69" s="671"/>
      <c r="AM69" s="671"/>
      <c r="AN69" s="671"/>
      <c r="AO69" s="671"/>
      <c r="AP69" s="671"/>
      <c r="AQ69" s="671"/>
      <c r="AR69" s="671"/>
      <c r="AS69" s="671"/>
      <c r="AT69" s="671"/>
      <c r="AU69" s="671"/>
      <c r="AV69" s="671"/>
      <c r="AW69" s="671"/>
      <c r="AX69" s="671"/>
      <c r="AY69" s="671"/>
      <c r="AZ69" s="671"/>
      <c r="BA69" s="671"/>
      <c r="BB69" s="671"/>
      <c r="BC69" s="671"/>
      <c r="BD69" s="671"/>
      <c r="BE69" s="671"/>
      <c r="BF69" s="671"/>
      <c r="BG69" s="671"/>
      <c r="BH69" s="671"/>
      <c r="BI69" s="671"/>
      <c r="BJ69" s="671"/>
      <c r="BK69" s="671"/>
      <c r="BL69" s="671"/>
      <c r="BM69" s="671"/>
      <c r="BN69" s="671"/>
      <c r="BO69" s="671"/>
      <c r="BP69" s="671"/>
      <c r="BQ69" s="671"/>
      <c r="BR69" s="671"/>
      <c r="BS69" s="671"/>
      <c r="BT69" s="671"/>
      <c r="BU69" s="671"/>
      <c r="BV69" s="671"/>
      <c r="BW69" s="671"/>
      <c r="BX69" s="671"/>
      <c r="BY69" s="671"/>
      <c r="BZ69" s="671"/>
      <c r="CA69" s="671"/>
      <c r="CB69" s="671"/>
      <c r="CC69" s="671"/>
      <c r="CD69" s="671"/>
      <c r="CE69" s="671"/>
      <c r="CF69" s="671"/>
      <c r="CG69" s="671"/>
      <c r="CH69" s="671"/>
      <c r="CI69" s="671"/>
      <c r="CJ69" s="671"/>
      <c r="CK69" s="671"/>
      <c r="CL69" s="671"/>
      <c r="CM69" s="671"/>
      <c r="CN69" s="671"/>
      <c r="CO69" s="671"/>
      <c r="CP69" s="671"/>
      <c r="CQ69" s="671"/>
      <c r="CR69" s="671"/>
      <c r="CS69" s="671"/>
      <c r="CT69" s="671"/>
      <c r="CU69" s="671"/>
      <c r="CV69" s="671"/>
      <c r="CW69" s="671"/>
      <c r="CX69" s="671"/>
      <c r="CY69" s="671"/>
      <c r="CZ69" s="671"/>
      <c r="DA69" s="671"/>
      <c r="DB69" s="671"/>
      <c r="DC69" s="671"/>
      <c r="DD69" s="671"/>
      <c r="DE69" s="671"/>
      <c r="DF69" s="671"/>
      <c r="DG69" s="671"/>
      <c r="DH69" s="671"/>
      <c r="DI69" s="671"/>
      <c r="DJ69" s="671"/>
      <c r="DK69" s="671"/>
      <c r="DL69" s="671"/>
      <c r="DM69" s="671"/>
      <c r="DN69" s="671"/>
      <c r="DO69" s="671"/>
      <c r="DP69" s="671"/>
      <c r="DQ69" s="671"/>
      <c r="DR69" s="671"/>
      <c r="DS69" s="671"/>
      <c r="DT69" s="671"/>
      <c r="DU69" s="671"/>
      <c r="DV69" s="671"/>
      <c r="DW69" s="671"/>
      <c r="DX69" s="671"/>
      <c r="DY69" s="671"/>
      <c r="DZ69" s="671"/>
      <c r="EA69" s="671"/>
      <c r="EB69" s="671"/>
      <c r="EC69" s="671"/>
      <c r="ED69" s="671"/>
      <c r="EE69" s="671"/>
      <c r="EF69" s="671"/>
      <c r="EG69" s="671"/>
      <c r="EH69" s="671"/>
      <c r="EI69" s="671"/>
      <c r="EJ69" s="671"/>
      <c r="EK69" s="671"/>
      <c r="EL69" s="671"/>
      <c r="EM69" s="671"/>
      <c r="EN69" s="671"/>
      <c r="EO69" s="671"/>
      <c r="EP69" s="671"/>
      <c r="EQ69" s="671"/>
      <c r="ER69" s="671"/>
      <c r="ES69" s="671"/>
      <c r="ET69" s="671"/>
      <c r="EU69" s="671"/>
      <c r="EV69" s="671"/>
      <c r="EW69" s="671"/>
      <c r="EX69" s="671"/>
      <c r="EY69" s="671"/>
      <c r="EZ69" s="671"/>
      <c r="FA69" s="671"/>
      <c r="FB69" s="671"/>
      <c r="FC69" s="671"/>
      <c r="FD69" s="671"/>
      <c r="FE69" s="671"/>
      <c r="FF69" s="671"/>
      <c r="FG69" s="671"/>
      <c r="FH69" s="671"/>
      <c r="FI69" s="671"/>
      <c r="FJ69" s="671"/>
      <c r="FK69" s="671"/>
      <c r="FL69" s="671"/>
      <c r="FM69" s="671"/>
      <c r="FN69" s="671"/>
      <c r="FO69" s="671"/>
      <c r="FP69" s="671"/>
      <c r="FQ69" s="671"/>
      <c r="FR69" s="671"/>
      <c r="FS69" s="671"/>
      <c r="FT69" s="671"/>
      <c r="FU69" s="671"/>
      <c r="FV69" s="671"/>
      <c r="FW69" s="671"/>
      <c r="FX69" s="671"/>
      <c r="FY69" s="671"/>
      <c r="FZ69" s="671"/>
      <c r="GA69" s="671"/>
    </row>
    <row r="70" spans="1:183" s="44" customFormat="1" ht="10.199999999999999">
      <c r="A70" s="36" t="s">
        <v>582</v>
      </c>
      <c r="B70" s="125">
        <f>SUM(C70:H70)</f>
        <v>1448383</v>
      </c>
      <c r="C70" s="618">
        <v>64365</v>
      </c>
      <c r="D70" s="618">
        <v>49458</v>
      </c>
      <c r="E70" s="618">
        <v>5646</v>
      </c>
      <c r="F70" s="618">
        <v>123459</v>
      </c>
      <c r="G70" s="618">
        <v>336274</v>
      </c>
      <c r="H70" s="618">
        <f>869180+1</f>
        <v>869181</v>
      </c>
      <c r="N70" s="671"/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1"/>
      <c r="AK70" s="671"/>
      <c r="AL70" s="671"/>
      <c r="AM70" s="671"/>
      <c r="AN70" s="671"/>
      <c r="AO70" s="671"/>
      <c r="AP70" s="671"/>
      <c r="AQ70" s="671"/>
      <c r="AR70" s="671"/>
      <c r="AS70" s="671"/>
      <c r="AT70" s="671"/>
      <c r="AU70" s="671"/>
      <c r="AV70" s="671"/>
      <c r="AW70" s="671"/>
      <c r="AX70" s="671"/>
      <c r="AY70" s="671"/>
      <c r="AZ70" s="671"/>
      <c r="BA70" s="671"/>
      <c r="BB70" s="671"/>
      <c r="BC70" s="671"/>
      <c r="BD70" s="671"/>
      <c r="BE70" s="671"/>
      <c r="BF70" s="671"/>
      <c r="BG70" s="671"/>
      <c r="BH70" s="671"/>
      <c r="BI70" s="671"/>
      <c r="BJ70" s="671"/>
      <c r="BK70" s="671"/>
      <c r="BL70" s="671"/>
      <c r="BM70" s="671"/>
      <c r="BN70" s="671"/>
      <c r="BO70" s="671"/>
      <c r="BP70" s="671"/>
      <c r="BQ70" s="671"/>
      <c r="BR70" s="671"/>
      <c r="BS70" s="671"/>
      <c r="BT70" s="671"/>
      <c r="BU70" s="671"/>
      <c r="BV70" s="671"/>
      <c r="BW70" s="671"/>
      <c r="BX70" s="671"/>
      <c r="BY70" s="671"/>
      <c r="BZ70" s="671"/>
      <c r="CA70" s="671"/>
      <c r="CB70" s="671"/>
      <c r="CC70" s="671"/>
      <c r="CD70" s="671"/>
      <c r="CE70" s="671"/>
      <c r="CF70" s="671"/>
      <c r="CG70" s="671"/>
      <c r="CH70" s="671"/>
      <c r="CI70" s="671"/>
      <c r="CJ70" s="671"/>
      <c r="CK70" s="671"/>
      <c r="CL70" s="671"/>
      <c r="CM70" s="671"/>
      <c r="CN70" s="671"/>
      <c r="CO70" s="671"/>
      <c r="CP70" s="671"/>
      <c r="CQ70" s="671"/>
      <c r="CR70" s="671"/>
      <c r="CS70" s="671"/>
      <c r="CT70" s="671"/>
      <c r="CU70" s="671"/>
      <c r="CV70" s="671"/>
      <c r="CW70" s="671"/>
      <c r="CX70" s="671"/>
      <c r="CY70" s="671"/>
      <c r="CZ70" s="671"/>
      <c r="DA70" s="671"/>
      <c r="DB70" s="671"/>
      <c r="DC70" s="671"/>
      <c r="DD70" s="671"/>
      <c r="DE70" s="671"/>
      <c r="DF70" s="671"/>
      <c r="DG70" s="671"/>
      <c r="DH70" s="671"/>
      <c r="DI70" s="671"/>
      <c r="DJ70" s="671"/>
      <c r="DK70" s="671"/>
      <c r="DL70" s="671"/>
      <c r="DM70" s="671"/>
      <c r="DN70" s="671"/>
      <c r="DO70" s="671"/>
      <c r="DP70" s="671"/>
      <c r="DQ70" s="671"/>
      <c r="DR70" s="671"/>
      <c r="DS70" s="671"/>
      <c r="DT70" s="671"/>
      <c r="DU70" s="671"/>
      <c r="DV70" s="671"/>
      <c r="DW70" s="671"/>
      <c r="DX70" s="671"/>
      <c r="DY70" s="671"/>
      <c r="DZ70" s="671"/>
      <c r="EA70" s="671"/>
      <c r="EB70" s="671"/>
      <c r="EC70" s="671"/>
      <c r="ED70" s="671"/>
      <c r="EE70" s="671"/>
      <c r="EF70" s="671"/>
      <c r="EG70" s="671"/>
      <c r="EH70" s="671"/>
      <c r="EI70" s="671"/>
      <c r="EJ70" s="671"/>
      <c r="EK70" s="671"/>
      <c r="EL70" s="671"/>
      <c r="EM70" s="671"/>
      <c r="EN70" s="671"/>
      <c r="EO70" s="671"/>
      <c r="EP70" s="671"/>
      <c r="EQ70" s="671"/>
      <c r="ER70" s="671"/>
      <c r="ES70" s="671"/>
      <c r="ET70" s="671"/>
      <c r="EU70" s="671"/>
      <c r="EV70" s="671"/>
      <c r="EW70" s="671"/>
      <c r="EX70" s="671"/>
      <c r="EY70" s="671"/>
      <c r="EZ70" s="671"/>
      <c r="FA70" s="671"/>
      <c r="FB70" s="671"/>
      <c r="FC70" s="671"/>
      <c r="FD70" s="671"/>
      <c r="FE70" s="671"/>
      <c r="FF70" s="671"/>
      <c r="FG70" s="671"/>
      <c r="FH70" s="671"/>
      <c r="FI70" s="671"/>
      <c r="FJ70" s="671"/>
      <c r="FK70" s="671"/>
      <c r="FL70" s="671"/>
      <c r="FM70" s="671"/>
      <c r="FN70" s="671"/>
      <c r="FO70" s="671"/>
      <c r="FP70" s="671"/>
      <c r="FQ70" s="671"/>
      <c r="FR70" s="671"/>
      <c r="FS70" s="671"/>
      <c r="FT70" s="671"/>
      <c r="FU70" s="671"/>
      <c r="FV70" s="671"/>
      <c r="FW70" s="671"/>
      <c r="FX70" s="671"/>
      <c r="FY70" s="671"/>
      <c r="FZ70" s="671"/>
      <c r="GA70" s="671"/>
    </row>
    <row r="71" spans="1:183" s="44" customFormat="1" ht="10.199999999999999">
      <c r="A71" s="60" t="s">
        <v>583</v>
      </c>
      <c r="B71" s="125">
        <f>B69-B70</f>
        <v>14960022</v>
      </c>
      <c r="C71" s="487">
        <f>C69-C70</f>
        <v>12178563</v>
      </c>
      <c r="D71" s="487">
        <f t="shared" ref="D71:H71" si="0">D69-D70</f>
        <v>2284797</v>
      </c>
      <c r="E71" s="487">
        <f t="shared" si="0"/>
        <v>284762</v>
      </c>
      <c r="F71" s="487">
        <f t="shared" si="0"/>
        <v>145793</v>
      </c>
      <c r="G71" s="487">
        <f t="shared" si="0"/>
        <v>5963</v>
      </c>
      <c r="H71" s="487">
        <f t="shared" si="0"/>
        <v>60144</v>
      </c>
      <c r="N71" s="671"/>
      <c r="O71" s="671"/>
      <c r="P71" s="671"/>
      <c r="Q71" s="671"/>
      <c r="R71" s="671"/>
      <c r="S71" s="671"/>
      <c r="T71" s="671"/>
      <c r="U71" s="671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1"/>
      <c r="AT71" s="671"/>
      <c r="AU71" s="671"/>
      <c r="AV71" s="671"/>
      <c r="AW71" s="671"/>
      <c r="AX71" s="671"/>
      <c r="AY71" s="671"/>
      <c r="AZ71" s="671"/>
      <c r="BA71" s="671"/>
      <c r="BB71" s="671"/>
      <c r="BC71" s="671"/>
      <c r="BD71" s="671"/>
      <c r="BE71" s="671"/>
      <c r="BF71" s="671"/>
      <c r="BG71" s="671"/>
      <c r="BH71" s="671"/>
      <c r="BI71" s="671"/>
      <c r="BJ71" s="671"/>
      <c r="BK71" s="671"/>
      <c r="BL71" s="671"/>
      <c r="BM71" s="671"/>
      <c r="BN71" s="671"/>
      <c r="BO71" s="671"/>
      <c r="BP71" s="671"/>
      <c r="BQ71" s="671"/>
      <c r="BR71" s="671"/>
      <c r="BS71" s="671"/>
      <c r="BT71" s="671"/>
      <c r="BU71" s="671"/>
      <c r="BV71" s="671"/>
      <c r="BW71" s="671"/>
      <c r="BX71" s="671"/>
      <c r="BY71" s="671"/>
      <c r="BZ71" s="671"/>
      <c r="CA71" s="671"/>
      <c r="CB71" s="671"/>
      <c r="CC71" s="671"/>
      <c r="CD71" s="671"/>
      <c r="CE71" s="671"/>
      <c r="CF71" s="671"/>
      <c r="CG71" s="671"/>
      <c r="CH71" s="671"/>
      <c r="CI71" s="671"/>
      <c r="CJ71" s="671"/>
      <c r="CK71" s="671"/>
      <c r="CL71" s="671"/>
      <c r="CM71" s="671"/>
      <c r="CN71" s="671"/>
      <c r="CO71" s="671"/>
      <c r="CP71" s="671"/>
      <c r="CQ71" s="671"/>
      <c r="CR71" s="671"/>
      <c r="CS71" s="671"/>
      <c r="CT71" s="671"/>
      <c r="CU71" s="671"/>
      <c r="CV71" s="671"/>
      <c r="CW71" s="671"/>
      <c r="CX71" s="671"/>
      <c r="CY71" s="671"/>
      <c r="CZ71" s="671"/>
      <c r="DA71" s="671"/>
      <c r="DB71" s="671"/>
      <c r="DC71" s="671"/>
      <c r="DD71" s="671"/>
      <c r="DE71" s="671"/>
      <c r="DF71" s="671"/>
      <c r="DG71" s="671"/>
      <c r="DH71" s="671"/>
      <c r="DI71" s="671"/>
      <c r="DJ71" s="671"/>
      <c r="DK71" s="671"/>
      <c r="DL71" s="671"/>
      <c r="DM71" s="671"/>
      <c r="DN71" s="671"/>
      <c r="DO71" s="671"/>
      <c r="DP71" s="671"/>
      <c r="DQ71" s="671"/>
      <c r="DR71" s="671"/>
      <c r="DS71" s="671"/>
      <c r="DT71" s="671"/>
      <c r="DU71" s="671"/>
      <c r="DV71" s="671"/>
      <c r="DW71" s="671"/>
      <c r="DX71" s="671"/>
      <c r="DY71" s="671"/>
      <c r="DZ71" s="671"/>
      <c r="EA71" s="671"/>
      <c r="EB71" s="671"/>
      <c r="EC71" s="671"/>
      <c r="ED71" s="671"/>
      <c r="EE71" s="671"/>
      <c r="EF71" s="671"/>
      <c r="EG71" s="671"/>
      <c r="EH71" s="671"/>
      <c r="EI71" s="671"/>
      <c r="EJ71" s="671"/>
      <c r="EK71" s="671"/>
      <c r="EL71" s="671"/>
      <c r="EM71" s="671"/>
      <c r="EN71" s="671"/>
      <c r="EO71" s="671"/>
      <c r="EP71" s="671"/>
      <c r="EQ71" s="671"/>
      <c r="ER71" s="671"/>
      <c r="ES71" s="671"/>
      <c r="ET71" s="671"/>
      <c r="EU71" s="671"/>
      <c r="EV71" s="671"/>
      <c r="EW71" s="671"/>
      <c r="EX71" s="671"/>
      <c r="EY71" s="671"/>
      <c r="EZ71" s="671"/>
      <c r="FA71" s="671"/>
      <c r="FB71" s="671"/>
      <c r="FC71" s="671"/>
      <c r="FD71" s="671"/>
      <c r="FE71" s="671"/>
      <c r="FF71" s="671"/>
      <c r="FG71" s="671"/>
      <c r="FH71" s="671"/>
      <c r="FI71" s="671"/>
      <c r="FJ71" s="671"/>
      <c r="FK71" s="671"/>
      <c r="FL71" s="671"/>
      <c r="FM71" s="671"/>
      <c r="FN71" s="671"/>
      <c r="FO71" s="671"/>
      <c r="FP71" s="671"/>
      <c r="FQ71" s="671"/>
      <c r="FR71" s="671"/>
      <c r="FS71" s="671"/>
      <c r="FT71" s="671"/>
      <c r="FU71" s="671"/>
      <c r="FV71" s="671"/>
      <c r="FW71" s="671"/>
      <c r="FX71" s="671"/>
      <c r="FY71" s="671"/>
      <c r="FZ71" s="671"/>
      <c r="GA71" s="671"/>
    </row>
    <row r="72" spans="1:183" s="44" customFormat="1" ht="10.199999999999999">
      <c r="A72" s="446" t="s">
        <v>352</v>
      </c>
      <c r="B72" s="447"/>
      <c r="C72" s="447"/>
      <c r="D72" s="447"/>
      <c r="E72" s="447"/>
      <c r="F72" s="447"/>
      <c r="G72" s="447"/>
      <c r="H72" s="447"/>
      <c r="N72" s="671"/>
      <c r="O72" s="671"/>
      <c r="P72" s="671"/>
      <c r="Q72" s="671"/>
      <c r="R72" s="671"/>
      <c r="S72" s="671"/>
      <c r="T72" s="671"/>
      <c r="U72" s="671"/>
      <c r="V72" s="671"/>
      <c r="W72" s="671"/>
      <c r="X72" s="671"/>
      <c r="Y72" s="671"/>
      <c r="Z72" s="671"/>
      <c r="AA72" s="671"/>
      <c r="AB72" s="671"/>
      <c r="AC72" s="671"/>
      <c r="AD72" s="671"/>
      <c r="AE72" s="671"/>
      <c r="AF72" s="671"/>
      <c r="AG72" s="671"/>
      <c r="AH72" s="671"/>
      <c r="AI72" s="671"/>
      <c r="AJ72" s="671"/>
      <c r="AK72" s="671"/>
      <c r="AL72" s="671"/>
      <c r="AM72" s="671"/>
      <c r="AN72" s="671"/>
      <c r="AO72" s="671"/>
      <c r="AP72" s="671"/>
      <c r="AQ72" s="671"/>
      <c r="AR72" s="671"/>
      <c r="AS72" s="671"/>
      <c r="AT72" s="671"/>
      <c r="AU72" s="671"/>
      <c r="AV72" s="671"/>
      <c r="AW72" s="671"/>
      <c r="AX72" s="671"/>
      <c r="AY72" s="671"/>
      <c r="AZ72" s="671"/>
      <c r="BA72" s="671"/>
      <c r="BB72" s="671"/>
      <c r="BC72" s="671"/>
      <c r="BD72" s="671"/>
      <c r="BE72" s="671"/>
      <c r="BF72" s="671"/>
      <c r="BG72" s="671"/>
      <c r="BH72" s="671"/>
      <c r="BI72" s="671"/>
      <c r="BJ72" s="671"/>
      <c r="BK72" s="671"/>
      <c r="BL72" s="671"/>
      <c r="BM72" s="671"/>
      <c r="BN72" s="671"/>
      <c r="BO72" s="671"/>
      <c r="BP72" s="671"/>
      <c r="BQ72" s="671"/>
      <c r="BR72" s="671"/>
      <c r="BS72" s="671"/>
      <c r="BT72" s="671"/>
      <c r="BU72" s="671"/>
      <c r="BV72" s="671"/>
      <c r="BW72" s="671"/>
      <c r="BX72" s="671"/>
      <c r="BY72" s="671"/>
      <c r="BZ72" s="671"/>
      <c r="CA72" s="671"/>
      <c r="CB72" s="671"/>
      <c r="CC72" s="671"/>
      <c r="CD72" s="671"/>
      <c r="CE72" s="671"/>
      <c r="CF72" s="671"/>
      <c r="CG72" s="671"/>
      <c r="CH72" s="671"/>
      <c r="CI72" s="671"/>
      <c r="CJ72" s="671"/>
      <c r="CK72" s="671"/>
      <c r="CL72" s="671"/>
      <c r="CM72" s="671"/>
      <c r="CN72" s="671"/>
      <c r="CO72" s="671"/>
      <c r="CP72" s="671"/>
      <c r="CQ72" s="671"/>
      <c r="CR72" s="671"/>
      <c r="CS72" s="671"/>
      <c r="CT72" s="671"/>
      <c r="CU72" s="671"/>
      <c r="CV72" s="671"/>
      <c r="CW72" s="671"/>
      <c r="CX72" s="671"/>
      <c r="CY72" s="671"/>
      <c r="CZ72" s="671"/>
      <c r="DA72" s="671"/>
      <c r="DB72" s="671"/>
      <c r="DC72" s="671"/>
      <c r="DD72" s="671"/>
      <c r="DE72" s="671"/>
      <c r="DF72" s="671"/>
      <c r="DG72" s="671"/>
      <c r="DH72" s="671"/>
      <c r="DI72" s="671"/>
      <c r="DJ72" s="671"/>
      <c r="DK72" s="671"/>
      <c r="DL72" s="671"/>
      <c r="DM72" s="671"/>
      <c r="DN72" s="671"/>
      <c r="DO72" s="671"/>
      <c r="DP72" s="671"/>
      <c r="DQ72" s="671"/>
      <c r="DR72" s="671"/>
      <c r="DS72" s="671"/>
      <c r="DT72" s="671"/>
      <c r="DU72" s="671"/>
      <c r="DV72" s="671"/>
      <c r="DW72" s="671"/>
      <c r="DX72" s="671"/>
      <c r="DY72" s="671"/>
      <c r="DZ72" s="671"/>
      <c r="EA72" s="671"/>
      <c r="EB72" s="671"/>
      <c r="EC72" s="671"/>
      <c r="ED72" s="671"/>
      <c r="EE72" s="671"/>
      <c r="EF72" s="671"/>
      <c r="EG72" s="671"/>
      <c r="EH72" s="671"/>
      <c r="EI72" s="671"/>
      <c r="EJ72" s="671"/>
      <c r="EK72" s="671"/>
      <c r="EL72" s="671"/>
      <c r="EM72" s="671"/>
      <c r="EN72" s="671"/>
      <c r="EO72" s="671"/>
      <c r="EP72" s="671"/>
      <c r="EQ72" s="671"/>
      <c r="ER72" s="671"/>
      <c r="ES72" s="671"/>
      <c r="ET72" s="671"/>
      <c r="EU72" s="671"/>
      <c r="EV72" s="671"/>
      <c r="EW72" s="671"/>
      <c r="EX72" s="671"/>
      <c r="EY72" s="671"/>
      <c r="EZ72" s="671"/>
      <c r="FA72" s="671"/>
      <c r="FB72" s="671"/>
      <c r="FC72" s="671"/>
      <c r="FD72" s="671"/>
      <c r="FE72" s="671"/>
      <c r="FF72" s="671"/>
      <c r="FG72" s="671"/>
      <c r="FH72" s="671"/>
      <c r="FI72" s="671"/>
      <c r="FJ72" s="671"/>
      <c r="FK72" s="671"/>
      <c r="FL72" s="671"/>
      <c r="FM72" s="671"/>
      <c r="FN72" s="671"/>
      <c r="FO72" s="671"/>
      <c r="FP72" s="671"/>
      <c r="FQ72" s="671"/>
      <c r="FR72" s="671"/>
      <c r="FS72" s="671"/>
      <c r="FT72" s="671"/>
      <c r="FU72" s="671"/>
      <c r="FV72" s="671"/>
      <c r="FW72" s="671"/>
      <c r="FX72" s="671"/>
      <c r="FY72" s="671"/>
      <c r="FZ72" s="671"/>
      <c r="GA72" s="671"/>
    </row>
    <row r="73" spans="1:183" s="44" customFormat="1" ht="10.199999999999999">
      <c r="A73" s="36" t="s">
        <v>581</v>
      </c>
      <c r="B73" s="125">
        <f t="shared" ref="B73:H75" si="1">B65+B69</f>
        <v>16408405</v>
      </c>
      <c r="C73" s="487">
        <f t="shared" si="1"/>
        <v>12242928</v>
      </c>
      <c r="D73" s="487">
        <f t="shared" si="1"/>
        <v>2334255</v>
      </c>
      <c r="E73" s="487">
        <f t="shared" si="1"/>
        <v>290408</v>
      </c>
      <c r="F73" s="487">
        <f t="shared" si="1"/>
        <v>269252</v>
      </c>
      <c r="G73" s="487">
        <f t="shared" si="1"/>
        <v>342237</v>
      </c>
      <c r="H73" s="487">
        <f t="shared" si="1"/>
        <v>929325</v>
      </c>
      <c r="N73" s="671"/>
      <c r="O73" s="671"/>
      <c r="P73" s="671"/>
      <c r="Q73" s="671"/>
      <c r="R73" s="671"/>
      <c r="S73" s="671"/>
      <c r="T73" s="671"/>
      <c r="U73" s="671"/>
      <c r="V73" s="671"/>
      <c r="W73" s="671"/>
      <c r="X73" s="671"/>
      <c r="Y73" s="671"/>
      <c r="Z73" s="671"/>
      <c r="AA73" s="671"/>
      <c r="AB73" s="671"/>
      <c r="AC73" s="671"/>
      <c r="AD73" s="671"/>
      <c r="AE73" s="671"/>
      <c r="AF73" s="671"/>
      <c r="AG73" s="671"/>
      <c r="AH73" s="671"/>
      <c r="AI73" s="671"/>
      <c r="AJ73" s="671"/>
      <c r="AK73" s="671"/>
      <c r="AL73" s="671"/>
      <c r="AM73" s="671"/>
      <c r="AN73" s="671"/>
      <c r="AO73" s="671"/>
      <c r="AP73" s="671"/>
      <c r="AQ73" s="671"/>
      <c r="AR73" s="671"/>
      <c r="AS73" s="671"/>
      <c r="AT73" s="671"/>
      <c r="AU73" s="671"/>
      <c r="AV73" s="671"/>
      <c r="AW73" s="671"/>
      <c r="AX73" s="671"/>
      <c r="AY73" s="671"/>
      <c r="AZ73" s="671"/>
      <c r="BA73" s="671"/>
      <c r="BB73" s="671"/>
      <c r="BC73" s="671"/>
      <c r="BD73" s="671"/>
      <c r="BE73" s="671"/>
      <c r="BF73" s="671"/>
      <c r="BG73" s="671"/>
      <c r="BH73" s="671"/>
      <c r="BI73" s="671"/>
      <c r="BJ73" s="671"/>
      <c r="BK73" s="671"/>
      <c r="BL73" s="671"/>
      <c r="BM73" s="671"/>
      <c r="BN73" s="671"/>
      <c r="BO73" s="671"/>
      <c r="BP73" s="671"/>
      <c r="BQ73" s="671"/>
      <c r="BR73" s="671"/>
      <c r="BS73" s="671"/>
      <c r="BT73" s="671"/>
      <c r="BU73" s="671"/>
      <c r="BV73" s="671"/>
      <c r="BW73" s="671"/>
      <c r="BX73" s="671"/>
      <c r="BY73" s="671"/>
      <c r="BZ73" s="671"/>
      <c r="CA73" s="671"/>
      <c r="CB73" s="671"/>
      <c r="CC73" s="671"/>
      <c r="CD73" s="671"/>
      <c r="CE73" s="671"/>
      <c r="CF73" s="671"/>
      <c r="CG73" s="671"/>
      <c r="CH73" s="671"/>
      <c r="CI73" s="671"/>
      <c r="CJ73" s="671"/>
      <c r="CK73" s="671"/>
      <c r="CL73" s="671"/>
      <c r="CM73" s="671"/>
      <c r="CN73" s="671"/>
      <c r="CO73" s="671"/>
      <c r="CP73" s="671"/>
      <c r="CQ73" s="671"/>
      <c r="CR73" s="671"/>
      <c r="CS73" s="671"/>
      <c r="CT73" s="671"/>
      <c r="CU73" s="671"/>
      <c r="CV73" s="671"/>
      <c r="CW73" s="671"/>
      <c r="CX73" s="671"/>
      <c r="CY73" s="671"/>
      <c r="CZ73" s="671"/>
      <c r="DA73" s="671"/>
      <c r="DB73" s="671"/>
      <c r="DC73" s="671"/>
      <c r="DD73" s="671"/>
      <c r="DE73" s="671"/>
      <c r="DF73" s="671"/>
      <c r="DG73" s="671"/>
      <c r="DH73" s="671"/>
      <c r="DI73" s="671"/>
      <c r="DJ73" s="671"/>
      <c r="DK73" s="671"/>
      <c r="DL73" s="671"/>
      <c r="DM73" s="671"/>
      <c r="DN73" s="671"/>
      <c r="DO73" s="671"/>
      <c r="DP73" s="671"/>
      <c r="DQ73" s="671"/>
      <c r="DR73" s="671"/>
      <c r="DS73" s="671"/>
      <c r="DT73" s="671"/>
      <c r="DU73" s="671"/>
      <c r="DV73" s="671"/>
      <c r="DW73" s="671"/>
      <c r="DX73" s="671"/>
      <c r="DY73" s="671"/>
      <c r="DZ73" s="671"/>
      <c r="EA73" s="671"/>
      <c r="EB73" s="671"/>
      <c r="EC73" s="671"/>
      <c r="ED73" s="671"/>
      <c r="EE73" s="671"/>
      <c r="EF73" s="671"/>
      <c r="EG73" s="671"/>
      <c r="EH73" s="671"/>
      <c r="EI73" s="671"/>
      <c r="EJ73" s="671"/>
      <c r="EK73" s="671"/>
      <c r="EL73" s="671"/>
      <c r="EM73" s="671"/>
      <c r="EN73" s="671"/>
      <c r="EO73" s="671"/>
      <c r="EP73" s="671"/>
      <c r="EQ73" s="671"/>
      <c r="ER73" s="671"/>
      <c r="ES73" s="671"/>
      <c r="ET73" s="671"/>
      <c r="EU73" s="671"/>
      <c r="EV73" s="671"/>
      <c r="EW73" s="671"/>
      <c r="EX73" s="671"/>
      <c r="EY73" s="671"/>
      <c r="EZ73" s="671"/>
      <c r="FA73" s="671"/>
      <c r="FB73" s="671"/>
      <c r="FC73" s="671"/>
      <c r="FD73" s="671"/>
      <c r="FE73" s="671"/>
      <c r="FF73" s="671"/>
      <c r="FG73" s="671"/>
      <c r="FH73" s="671"/>
      <c r="FI73" s="671"/>
      <c r="FJ73" s="671"/>
      <c r="FK73" s="671"/>
      <c r="FL73" s="671"/>
      <c r="FM73" s="671"/>
      <c r="FN73" s="671"/>
      <c r="FO73" s="671"/>
      <c r="FP73" s="671"/>
      <c r="FQ73" s="671"/>
      <c r="FR73" s="671"/>
      <c r="FS73" s="671"/>
      <c r="FT73" s="671"/>
      <c r="FU73" s="671"/>
      <c r="FV73" s="671"/>
      <c r="FW73" s="671"/>
      <c r="FX73" s="671"/>
      <c r="FY73" s="671"/>
      <c r="FZ73" s="671"/>
      <c r="GA73" s="671"/>
    </row>
    <row r="74" spans="1:183" s="44" customFormat="1" ht="10.199999999999999">
      <c r="A74" s="36" t="s">
        <v>582</v>
      </c>
      <c r="B74" s="125">
        <f t="shared" si="1"/>
        <v>1448383</v>
      </c>
      <c r="C74" s="487">
        <f t="shared" si="1"/>
        <v>64365</v>
      </c>
      <c r="D74" s="487">
        <f t="shared" si="1"/>
        <v>49458</v>
      </c>
      <c r="E74" s="487">
        <f t="shared" si="1"/>
        <v>5646</v>
      </c>
      <c r="F74" s="487">
        <f t="shared" si="1"/>
        <v>123459</v>
      </c>
      <c r="G74" s="487">
        <f>G66+G70</f>
        <v>336274</v>
      </c>
      <c r="H74" s="487">
        <f t="shared" si="1"/>
        <v>869181</v>
      </c>
      <c r="N74" s="671"/>
      <c r="O74" s="671"/>
      <c r="P74" s="671"/>
      <c r="Q74" s="671"/>
      <c r="R74" s="671"/>
      <c r="S74" s="671"/>
      <c r="T74" s="671"/>
      <c r="U74" s="671"/>
      <c r="V74" s="671"/>
      <c r="W74" s="671"/>
      <c r="X74" s="671"/>
      <c r="Y74" s="671"/>
      <c r="Z74" s="671"/>
      <c r="AA74" s="671"/>
      <c r="AB74" s="671"/>
      <c r="AC74" s="671"/>
      <c r="AD74" s="671"/>
      <c r="AE74" s="671"/>
      <c r="AF74" s="671"/>
      <c r="AG74" s="671"/>
      <c r="AH74" s="671"/>
      <c r="AI74" s="671"/>
      <c r="AJ74" s="671"/>
      <c r="AK74" s="671"/>
      <c r="AL74" s="671"/>
      <c r="AM74" s="671"/>
      <c r="AN74" s="671"/>
      <c r="AO74" s="671"/>
      <c r="AP74" s="671"/>
      <c r="AQ74" s="671"/>
      <c r="AR74" s="671"/>
      <c r="AS74" s="671"/>
      <c r="AT74" s="671"/>
      <c r="AU74" s="671"/>
      <c r="AV74" s="671"/>
      <c r="AW74" s="671"/>
      <c r="AX74" s="671"/>
      <c r="AY74" s="671"/>
      <c r="AZ74" s="671"/>
      <c r="BA74" s="671"/>
      <c r="BB74" s="671"/>
      <c r="BC74" s="671"/>
      <c r="BD74" s="671"/>
      <c r="BE74" s="671"/>
      <c r="BF74" s="671"/>
      <c r="BG74" s="671"/>
      <c r="BH74" s="671"/>
      <c r="BI74" s="671"/>
      <c r="BJ74" s="671"/>
      <c r="BK74" s="671"/>
      <c r="BL74" s="671"/>
      <c r="BM74" s="671"/>
      <c r="BN74" s="671"/>
      <c r="BO74" s="671"/>
      <c r="BP74" s="671"/>
      <c r="BQ74" s="671"/>
      <c r="BR74" s="671"/>
      <c r="BS74" s="671"/>
      <c r="BT74" s="671"/>
      <c r="BU74" s="671"/>
      <c r="BV74" s="671"/>
      <c r="BW74" s="671"/>
      <c r="BX74" s="671"/>
      <c r="BY74" s="671"/>
      <c r="BZ74" s="671"/>
      <c r="CA74" s="671"/>
      <c r="CB74" s="671"/>
      <c r="CC74" s="671"/>
      <c r="CD74" s="671"/>
      <c r="CE74" s="671"/>
      <c r="CF74" s="671"/>
      <c r="CG74" s="671"/>
      <c r="CH74" s="671"/>
      <c r="CI74" s="671"/>
      <c r="CJ74" s="671"/>
      <c r="CK74" s="671"/>
      <c r="CL74" s="671"/>
      <c r="CM74" s="671"/>
      <c r="CN74" s="671"/>
      <c r="CO74" s="671"/>
      <c r="CP74" s="671"/>
      <c r="CQ74" s="671"/>
      <c r="CR74" s="671"/>
      <c r="CS74" s="671"/>
      <c r="CT74" s="671"/>
      <c r="CU74" s="671"/>
      <c r="CV74" s="671"/>
      <c r="CW74" s="671"/>
      <c r="CX74" s="671"/>
      <c r="CY74" s="671"/>
      <c r="CZ74" s="671"/>
      <c r="DA74" s="671"/>
      <c r="DB74" s="671"/>
      <c r="DC74" s="671"/>
      <c r="DD74" s="671"/>
      <c r="DE74" s="671"/>
      <c r="DF74" s="671"/>
      <c r="DG74" s="671"/>
      <c r="DH74" s="671"/>
      <c r="DI74" s="671"/>
      <c r="DJ74" s="671"/>
      <c r="DK74" s="671"/>
      <c r="DL74" s="671"/>
      <c r="DM74" s="671"/>
      <c r="DN74" s="671"/>
      <c r="DO74" s="671"/>
      <c r="DP74" s="671"/>
      <c r="DQ74" s="671"/>
      <c r="DR74" s="671"/>
      <c r="DS74" s="671"/>
      <c r="DT74" s="671"/>
      <c r="DU74" s="671"/>
      <c r="DV74" s="671"/>
      <c r="DW74" s="671"/>
      <c r="DX74" s="671"/>
      <c r="DY74" s="671"/>
      <c r="DZ74" s="671"/>
      <c r="EA74" s="671"/>
      <c r="EB74" s="671"/>
      <c r="EC74" s="671"/>
      <c r="ED74" s="671"/>
      <c r="EE74" s="671"/>
      <c r="EF74" s="671"/>
      <c r="EG74" s="671"/>
      <c r="EH74" s="671"/>
      <c r="EI74" s="671"/>
      <c r="EJ74" s="671"/>
      <c r="EK74" s="671"/>
      <c r="EL74" s="671"/>
      <c r="EM74" s="671"/>
      <c r="EN74" s="671"/>
      <c r="EO74" s="671"/>
      <c r="EP74" s="671"/>
      <c r="EQ74" s="671"/>
      <c r="ER74" s="671"/>
      <c r="ES74" s="671"/>
      <c r="ET74" s="671"/>
      <c r="EU74" s="671"/>
      <c r="EV74" s="671"/>
      <c r="EW74" s="671"/>
      <c r="EX74" s="671"/>
      <c r="EY74" s="671"/>
      <c r="EZ74" s="671"/>
      <c r="FA74" s="671"/>
      <c r="FB74" s="671"/>
      <c r="FC74" s="671"/>
      <c r="FD74" s="671"/>
      <c r="FE74" s="671"/>
      <c r="FF74" s="671"/>
      <c r="FG74" s="671"/>
      <c r="FH74" s="671"/>
      <c r="FI74" s="671"/>
      <c r="FJ74" s="671"/>
      <c r="FK74" s="671"/>
      <c r="FL74" s="671"/>
      <c r="FM74" s="671"/>
      <c r="FN74" s="671"/>
      <c r="FO74" s="671"/>
      <c r="FP74" s="671"/>
      <c r="FQ74" s="671"/>
      <c r="FR74" s="671"/>
      <c r="FS74" s="671"/>
      <c r="FT74" s="671"/>
      <c r="FU74" s="671"/>
      <c r="FV74" s="671"/>
      <c r="FW74" s="671"/>
      <c r="FX74" s="671"/>
      <c r="FY74" s="671"/>
      <c r="FZ74" s="671"/>
      <c r="GA74" s="671"/>
    </row>
    <row r="75" spans="1:183" s="44" customFormat="1" ht="10.199999999999999">
      <c r="A75" s="60" t="s">
        <v>583</v>
      </c>
      <c r="B75" s="125">
        <f t="shared" si="1"/>
        <v>14960022</v>
      </c>
      <c r="C75" s="487">
        <f t="shared" si="1"/>
        <v>12178563</v>
      </c>
      <c r="D75" s="487">
        <f t="shared" si="1"/>
        <v>2284797</v>
      </c>
      <c r="E75" s="487">
        <f t="shared" si="1"/>
        <v>284762</v>
      </c>
      <c r="F75" s="487">
        <f t="shared" si="1"/>
        <v>145793</v>
      </c>
      <c r="G75" s="487">
        <f t="shared" si="1"/>
        <v>5963</v>
      </c>
      <c r="H75" s="487">
        <f t="shared" si="1"/>
        <v>60144</v>
      </c>
      <c r="N75" s="671"/>
      <c r="O75" s="671"/>
      <c r="P75" s="671"/>
      <c r="Q75" s="671"/>
      <c r="R75" s="671"/>
      <c r="S75" s="671"/>
      <c r="T75" s="671"/>
      <c r="U75" s="671"/>
      <c r="V75" s="671"/>
      <c r="W75" s="671"/>
      <c r="X75" s="671"/>
      <c r="Y75" s="671"/>
      <c r="Z75" s="671"/>
      <c r="AA75" s="671"/>
      <c r="AB75" s="671"/>
      <c r="AC75" s="671"/>
      <c r="AD75" s="671"/>
      <c r="AE75" s="671"/>
      <c r="AF75" s="671"/>
      <c r="AG75" s="671"/>
      <c r="AH75" s="671"/>
      <c r="AI75" s="671"/>
      <c r="AJ75" s="671"/>
      <c r="AK75" s="671"/>
      <c r="AL75" s="671"/>
      <c r="AM75" s="671"/>
      <c r="AN75" s="671"/>
      <c r="AO75" s="671"/>
      <c r="AP75" s="671"/>
      <c r="AQ75" s="671"/>
      <c r="AR75" s="671"/>
      <c r="AS75" s="671"/>
      <c r="AT75" s="671"/>
      <c r="AU75" s="671"/>
      <c r="AV75" s="671"/>
      <c r="AW75" s="671"/>
      <c r="AX75" s="671"/>
      <c r="AY75" s="671"/>
      <c r="AZ75" s="671"/>
      <c r="BA75" s="671"/>
      <c r="BB75" s="671"/>
      <c r="BC75" s="671"/>
      <c r="BD75" s="671"/>
      <c r="BE75" s="671"/>
      <c r="BF75" s="671"/>
      <c r="BG75" s="671"/>
      <c r="BH75" s="671"/>
      <c r="BI75" s="671"/>
      <c r="BJ75" s="671"/>
      <c r="BK75" s="671"/>
      <c r="BL75" s="671"/>
      <c r="BM75" s="671"/>
      <c r="BN75" s="671"/>
      <c r="BO75" s="671"/>
      <c r="BP75" s="671"/>
      <c r="BQ75" s="671"/>
      <c r="BR75" s="671"/>
      <c r="BS75" s="671"/>
      <c r="BT75" s="671"/>
      <c r="BU75" s="671"/>
      <c r="BV75" s="671"/>
      <c r="BW75" s="671"/>
      <c r="BX75" s="671"/>
      <c r="BY75" s="671"/>
      <c r="BZ75" s="671"/>
      <c r="CA75" s="671"/>
      <c r="CB75" s="671"/>
      <c r="CC75" s="671"/>
      <c r="CD75" s="671"/>
      <c r="CE75" s="671"/>
      <c r="CF75" s="671"/>
      <c r="CG75" s="671"/>
      <c r="CH75" s="671"/>
      <c r="CI75" s="671"/>
      <c r="CJ75" s="671"/>
      <c r="CK75" s="671"/>
      <c r="CL75" s="671"/>
      <c r="CM75" s="671"/>
      <c r="CN75" s="671"/>
      <c r="CO75" s="671"/>
      <c r="CP75" s="671"/>
      <c r="CQ75" s="671"/>
      <c r="CR75" s="671"/>
      <c r="CS75" s="671"/>
      <c r="CT75" s="671"/>
      <c r="CU75" s="671"/>
      <c r="CV75" s="671"/>
      <c r="CW75" s="671"/>
      <c r="CX75" s="671"/>
      <c r="CY75" s="671"/>
      <c r="CZ75" s="671"/>
      <c r="DA75" s="671"/>
      <c r="DB75" s="671"/>
      <c r="DC75" s="671"/>
      <c r="DD75" s="671"/>
      <c r="DE75" s="671"/>
      <c r="DF75" s="671"/>
      <c r="DG75" s="671"/>
      <c r="DH75" s="671"/>
      <c r="DI75" s="671"/>
      <c r="DJ75" s="671"/>
      <c r="DK75" s="671"/>
      <c r="DL75" s="671"/>
      <c r="DM75" s="671"/>
      <c r="DN75" s="671"/>
      <c r="DO75" s="671"/>
      <c r="DP75" s="671"/>
      <c r="DQ75" s="671"/>
      <c r="DR75" s="671"/>
      <c r="DS75" s="671"/>
      <c r="DT75" s="671"/>
      <c r="DU75" s="671"/>
      <c r="DV75" s="671"/>
      <c r="DW75" s="671"/>
      <c r="DX75" s="671"/>
      <c r="DY75" s="671"/>
      <c r="DZ75" s="671"/>
      <c r="EA75" s="671"/>
      <c r="EB75" s="671"/>
      <c r="EC75" s="671"/>
      <c r="ED75" s="671"/>
      <c r="EE75" s="671"/>
      <c r="EF75" s="671"/>
      <c r="EG75" s="671"/>
      <c r="EH75" s="671"/>
      <c r="EI75" s="671"/>
      <c r="EJ75" s="671"/>
      <c r="EK75" s="671"/>
      <c r="EL75" s="671"/>
      <c r="EM75" s="671"/>
      <c r="EN75" s="671"/>
      <c r="EO75" s="671"/>
      <c r="EP75" s="671"/>
      <c r="EQ75" s="671"/>
      <c r="ER75" s="671"/>
      <c r="ES75" s="671"/>
      <c r="ET75" s="671"/>
      <c r="EU75" s="671"/>
      <c r="EV75" s="671"/>
      <c r="EW75" s="671"/>
      <c r="EX75" s="671"/>
      <c r="EY75" s="671"/>
      <c r="EZ75" s="671"/>
      <c r="FA75" s="671"/>
      <c r="FB75" s="671"/>
      <c r="FC75" s="671"/>
      <c r="FD75" s="671"/>
      <c r="FE75" s="671"/>
      <c r="FF75" s="671"/>
      <c r="FG75" s="671"/>
      <c r="FH75" s="671"/>
      <c r="FI75" s="671"/>
      <c r="FJ75" s="671"/>
      <c r="FK75" s="671"/>
      <c r="FL75" s="671"/>
      <c r="FM75" s="671"/>
      <c r="FN75" s="671"/>
      <c r="FO75" s="671"/>
      <c r="FP75" s="671"/>
      <c r="FQ75" s="671"/>
      <c r="FR75" s="671"/>
      <c r="FS75" s="671"/>
      <c r="FT75" s="671"/>
      <c r="FU75" s="671"/>
      <c r="FV75" s="671"/>
      <c r="FW75" s="671"/>
      <c r="FX75" s="671"/>
      <c r="FY75" s="671"/>
      <c r="FZ75" s="671"/>
      <c r="GA75" s="671"/>
    </row>
    <row r="76" spans="1:183" s="44" customFormat="1" ht="10.199999999999999">
      <c r="B76" s="301">
        <f>B75-B5</f>
        <v>0</v>
      </c>
      <c r="C76" s="301"/>
      <c r="D76" s="301"/>
      <c r="E76" s="301"/>
      <c r="F76" s="301"/>
      <c r="G76" s="30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  <c r="AJ76" s="671"/>
      <c r="AK76" s="671"/>
      <c r="AL76" s="671"/>
      <c r="AM76" s="671"/>
      <c r="AN76" s="671"/>
      <c r="AO76" s="671"/>
      <c r="AP76" s="671"/>
      <c r="AQ76" s="671"/>
      <c r="AR76" s="671"/>
      <c r="AS76" s="671"/>
      <c r="AT76" s="671"/>
      <c r="AU76" s="671"/>
      <c r="AV76" s="671"/>
      <c r="AW76" s="671"/>
      <c r="AX76" s="671"/>
      <c r="AY76" s="671"/>
      <c r="AZ76" s="671"/>
      <c r="BA76" s="671"/>
      <c r="BB76" s="671"/>
      <c r="BC76" s="671"/>
      <c r="BD76" s="671"/>
      <c r="BE76" s="671"/>
      <c r="BF76" s="671"/>
      <c r="BG76" s="671"/>
      <c r="BH76" s="671"/>
      <c r="BI76" s="671"/>
      <c r="BJ76" s="671"/>
      <c r="BK76" s="671"/>
      <c r="BL76" s="671"/>
      <c r="BM76" s="671"/>
      <c r="BN76" s="671"/>
      <c r="BO76" s="671"/>
      <c r="BP76" s="671"/>
      <c r="BQ76" s="671"/>
      <c r="BR76" s="671"/>
      <c r="BS76" s="671"/>
      <c r="BT76" s="671"/>
      <c r="BU76" s="671"/>
      <c r="BV76" s="671"/>
      <c r="BW76" s="671"/>
      <c r="BX76" s="671"/>
      <c r="BY76" s="671"/>
      <c r="BZ76" s="671"/>
      <c r="CA76" s="671"/>
      <c r="CB76" s="671"/>
      <c r="CC76" s="671"/>
      <c r="CD76" s="671"/>
      <c r="CE76" s="671"/>
      <c r="CF76" s="671"/>
      <c r="CG76" s="671"/>
      <c r="CH76" s="671"/>
      <c r="CI76" s="671"/>
      <c r="CJ76" s="671"/>
      <c r="CK76" s="671"/>
      <c r="CL76" s="671"/>
      <c r="CM76" s="671"/>
      <c r="CN76" s="671"/>
      <c r="CO76" s="671"/>
      <c r="CP76" s="671"/>
      <c r="CQ76" s="671"/>
      <c r="CR76" s="671"/>
      <c r="CS76" s="671"/>
      <c r="CT76" s="671"/>
      <c r="CU76" s="671"/>
      <c r="CV76" s="671"/>
      <c r="CW76" s="671"/>
      <c r="CX76" s="671"/>
      <c r="CY76" s="671"/>
      <c r="CZ76" s="671"/>
      <c r="DA76" s="671"/>
      <c r="DB76" s="671"/>
      <c r="DC76" s="671"/>
      <c r="DD76" s="671"/>
      <c r="DE76" s="671"/>
      <c r="DF76" s="671"/>
      <c r="DG76" s="671"/>
      <c r="DH76" s="671"/>
      <c r="DI76" s="671"/>
      <c r="DJ76" s="671"/>
      <c r="DK76" s="671"/>
      <c r="DL76" s="671"/>
      <c r="DM76" s="671"/>
      <c r="DN76" s="671"/>
      <c r="DO76" s="671"/>
      <c r="DP76" s="671"/>
      <c r="DQ76" s="671"/>
      <c r="DR76" s="671"/>
      <c r="DS76" s="671"/>
      <c r="DT76" s="671"/>
      <c r="DU76" s="671"/>
      <c r="DV76" s="671"/>
      <c r="DW76" s="671"/>
      <c r="DX76" s="671"/>
      <c r="DY76" s="671"/>
      <c r="DZ76" s="671"/>
      <c r="EA76" s="671"/>
      <c r="EB76" s="671"/>
      <c r="EC76" s="671"/>
      <c r="ED76" s="671"/>
      <c r="EE76" s="671"/>
      <c r="EF76" s="671"/>
      <c r="EG76" s="671"/>
      <c r="EH76" s="671"/>
      <c r="EI76" s="671"/>
      <c r="EJ76" s="671"/>
      <c r="EK76" s="671"/>
      <c r="EL76" s="671"/>
      <c r="EM76" s="671"/>
      <c r="EN76" s="671"/>
      <c r="EO76" s="671"/>
      <c r="EP76" s="671"/>
      <c r="EQ76" s="671"/>
      <c r="ER76" s="671"/>
      <c r="ES76" s="671"/>
      <c r="ET76" s="671"/>
      <c r="EU76" s="671"/>
      <c r="EV76" s="671"/>
      <c r="EW76" s="671"/>
      <c r="EX76" s="671"/>
      <c r="EY76" s="671"/>
      <c r="EZ76" s="671"/>
      <c r="FA76" s="671"/>
      <c r="FB76" s="671"/>
      <c r="FC76" s="671"/>
      <c r="FD76" s="671"/>
      <c r="FE76" s="671"/>
      <c r="FF76" s="671"/>
      <c r="FG76" s="671"/>
      <c r="FH76" s="671"/>
      <c r="FI76" s="671"/>
      <c r="FJ76" s="671"/>
      <c r="FK76" s="671"/>
      <c r="FL76" s="671"/>
      <c r="FM76" s="671"/>
      <c r="FN76" s="671"/>
      <c r="FO76" s="671"/>
      <c r="FP76" s="671"/>
      <c r="FQ76" s="671"/>
      <c r="FR76" s="671"/>
      <c r="FS76" s="671"/>
      <c r="FT76" s="671"/>
      <c r="FU76" s="671"/>
      <c r="FV76" s="671"/>
      <c r="FW76" s="671"/>
      <c r="FX76" s="671"/>
      <c r="FY76" s="671"/>
      <c r="FZ76" s="671"/>
      <c r="GA76" s="671"/>
    </row>
    <row r="77" spans="1:183" s="44" customFormat="1" ht="10.199999999999999">
      <c r="B77" s="355"/>
      <c r="C77" s="355"/>
      <c r="D77" s="355"/>
      <c r="E77" s="355"/>
      <c r="F77" s="355"/>
      <c r="G77" s="355"/>
      <c r="N77" s="671"/>
      <c r="O77" s="671"/>
      <c r="P77" s="671"/>
      <c r="Q77" s="671"/>
      <c r="R77" s="671"/>
      <c r="S77" s="671"/>
      <c r="T77" s="671"/>
      <c r="U77" s="671"/>
      <c r="V77" s="671"/>
      <c r="W77" s="671"/>
      <c r="X77" s="671"/>
      <c r="Y77" s="671"/>
      <c r="Z77" s="671"/>
      <c r="AA77" s="671"/>
      <c r="AB77" s="671"/>
      <c r="AC77" s="671"/>
      <c r="AD77" s="671"/>
      <c r="AE77" s="671"/>
      <c r="AF77" s="671"/>
      <c r="AG77" s="671"/>
      <c r="AH77" s="671"/>
      <c r="AI77" s="671"/>
      <c r="AJ77" s="671"/>
      <c r="AK77" s="671"/>
      <c r="AL77" s="671"/>
      <c r="AM77" s="671"/>
      <c r="AN77" s="671"/>
      <c r="AO77" s="671"/>
      <c r="AP77" s="671"/>
      <c r="AQ77" s="671"/>
      <c r="AR77" s="671"/>
      <c r="AS77" s="671"/>
      <c r="AT77" s="671"/>
      <c r="AU77" s="671"/>
      <c r="AV77" s="671"/>
      <c r="AW77" s="671"/>
      <c r="AX77" s="671"/>
      <c r="AY77" s="671"/>
      <c r="AZ77" s="671"/>
      <c r="BA77" s="671"/>
      <c r="BB77" s="671"/>
      <c r="BC77" s="671"/>
      <c r="BD77" s="671"/>
      <c r="BE77" s="671"/>
      <c r="BF77" s="671"/>
      <c r="BG77" s="671"/>
      <c r="BH77" s="671"/>
      <c r="BI77" s="671"/>
      <c r="BJ77" s="671"/>
      <c r="BK77" s="671"/>
      <c r="BL77" s="671"/>
      <c r="BM77" s="671"/>
      <c r="BN77" s="671"/>
      <c r="BO77" s="671"/>
      <c r="BP77" s="671"/>
      <c r="BQ77" s="671"/>
      <c r="BR77" s="671"/>
      <c r="BS77" s="671"/>
      <c r="BT77" s="671"/>
      <c r="BU77" s="671"/>
      <c r="BV77" s="671"/>
      <c r="BW77" s="671"/>
      <c r="BX77" s="671"/>
      <c r="BY77" s="671"/>
      <c r="BZ77" s="671"/>
      <c r="CA77" s="671"/>
      <c r="CB77" s="671"/>
      <c r="CC77" s="671"/>
      <c r="CD77" s="671"/>
      <c r="CE77" s="671"/>
      <c r="CF77" s="671"/>
      <c r="CG77" s="671"/>
      <c r="CH77" s="671"/>
      <c r="CI77" s="671"/>
      <c r="CJ77" s="671"/>
      <c r="CK77" s="671"/>
      <c r="CL77" s="671"/>
      <c r="CM77" s="671"/>
      <c r="CN77" s="671"/>
      <c r="CO77" s="671"/>
      <c r="CP77" s="671"/>
      <c r="CQ77" s="671"/>
      <c r="CR77" s="671"/>
      <c r="CS77" s="671"/>
      <c r="CT77" s="671"/>
      <c r="CU77" s="671"/>
      <c r="CV77" s="671"/>
      <c r="CW77" s="671"/>
      <c r="CX77" s="671"/>
      <c r="CY77" s="671"/>
      <c r="CZ77" s="671"/>
      <c r="DA77" s="671"/>
      <c r="DB77" s="671"/>
      <c r="DC77" s="671"/>
      <c r="DD77" s="671"/>
      <c r="DE77" s="671"/>
      <c r="DF77" s="671"/>
      <c r="DG77" s="671"/>
      <c r="DH77" s="671"/>
      <c r="DI77" s="671"/>
      <c r="DJ77" s="671"/>
      <c r="DK77" s="671"/>
      <c r="DL77" s="671"/>
      <c r="DM77" s="671"/>
      <c r="DN77" s="671"/>
      <c r="DO77" s="671"/>
      <c r="DP77" s="671"/>
      <c r="DQ77" s="671"/>
      <c r="DR77" s="671"/>
      <c r="DS77" s="671"/>
      <c r="DT77" s="671"/>
      <c r="DU77" s="671"/>
      <c r="DV77" s="671"/>
      <c r="DW77" s="671"/>
      <c r="DX77" s="671"/>
      <c r="DY77" s="671"/>
      <c r="DZ77" s="671"/>
      <c r="EA77" s="671"/>
      <c r="EB77" s="671"/>
      <c r="EC77" s="671"/>
      <c r="ED77" s="671"/>
      <c r="EE77" s="671"/>
      <c r="EF77" s="671"/>
      <c r="EG77" s="671"/>
      <c r="EH77" s="671"/>
      <c r="EI77" s="671"/>
      <c r="EJ77" s="671"/>
      <c r="EK77" s="671"/>
      <c r="EL77" s="671"/>
      <c r="EM77" s="671"/>
      <c r="EN77" s="671"/>
      <c r="EO77" s="671"/>
      <c r="EP77" s="671"/>
      <c r="EQ77" s="671"/>
      <c r="ER77" s="671"/>
      <c r="ES77" s="671"/>
      <c r="ET77" s="671"/>
      <c r="EU77" s="671"/>
      <c r="EV77" s="671"/>
      <c r="EW77" s="671"/>
      <c r="EX77" s="671"/>
      <c r="EY77" s="671"/>
      <c r="EZ77" s="671"/>
      <c r="FA77" s="671"/>
      <c r="FB77" s="671"/>
      <c r="FC77" s="671"/>
      <c r="FD77" s="671"/>
      <c r="FE77" s="671"/>
      <c r="FF77" s="671"/>
      <c r="FG77" s="671"/>
      <c r="FH77" s="671"/>
      <c r="FI77" s="671"/>
      <c r="FJ77" s="671"/>
      <c r="FK77" s="671"/>
      <c r="FL77" s="671"/>
      <c r="FM77" s="671"/>
      <c r="FN77" s="671"/>
      <c r="FO77" s="671"/>
      <c r="FP77" s="671"/>
      <c r="FQ77" s="671"/>
      <c r="FR77" s="671"/>
      <c r="FS77" s="671"/>
      <c r="FT77" s="671"/>
      <c r="FU77" s="671"/>
      <c r="FV77" s="671"/>
      <c r="FW77" s="671"/>
      <c r="FX77" s="671"/>
      <c r="FY77" s="671"/>
      <c r="FZ77" s="671"/>
      <c r="GA77" s="671"/>
    </row>
    <row r="78" spans="1:183" s="44" customFormat="1" ht="20.399999999999999">
      <c r="A78" s="111" t="s">
        <v>865</v>
      </c>
      <c r="N78" s="671"/>
      <c r="O78" s="671"/>
      <c r="P78" s="671"/>
      <c r="Q78" s="671"/>
      <c r="R78" s="671"/>
      <c r="S78" s="671"/>
      <c r="T78" s="671"/>
      <c r="U78" s="671"/>
      <c r="V78" s="671"/>
      <c r="W78" s="671"/>
      <c r="X78" s="671"/>
      <c r="Y78" s="671"/>
      <c r="Z78" s="671"/>
      <c r="AA78" s="671"/>
      <c r="AB78" s="671"/>
      <c r="AC78" s="671"/>
      <c r="AD78" s="671"/>
      <c r="AE78" s="671"/>
      <c r="AF78" s="671"/>
      <c r="AG78" s="671"/>
      <c r="AH78" s="671"/>
      <c r="AI78" s="671"/>
      <c r="AJ78" s="671"/>
      <c r="AK78" s="671"/>
      <c r="AL78" s="671"/>
      <c r="AM78" s="671"/>
      <c r="AN78" s="671"/>
      <c r="AO78" s="671"/>
      <c r="AP78" s="671"/>
      <c r="AQ78" s="671"/>
      <c r="AR78" s="671"/>
      <c r="AS78" s="671"/>
      <c r="AT78" s="671"/>
      <c r="AU78" s="671"/>
      <c r="AV78" s="671"/>
      <c r="AW78" s="671"/>
      <c r="AX78" s="671"/>
      <c r="AY78" s="671"/>
      <c r="AZ78" s="671"/>
      <c r="BA78" s="671"/>
      <c r="BB78" s="671"/>
      <c r="BC78" s="671"/>
      <c r="BD78" s="671"/>
      <c r="BE78" s="671"/>
      <c r="BF78" s="671"/>
      <c r="BG78" s="671"/>
      <c r="BH78" s="671"/>
      <c r="BI78" s="671"/>
      <c r="BJ78" s="671"/>
      <c r="BK78" s="671"/>
      <c r="BL78" s="671"/>
      <c r="BM78" s="671"/>
      <c r="BN78" s="671"/>
      <c r="BO78" s="671"/>
      <c r="BP78" s="671"/>
      <c r="BQ78" s="671"/>
      <c r="BR78" s="671"/>
      <c r="BS78" s="671"/>
      <c r="BT78" s="671"/>
      <c r="BU78" s="671"/>
      <c r="BV78" s="671"/>
      <c r="BW78" s="671"/>
      <c r="BX78" s="671"/>
      <c r="BY78" s="671"/>
      <c r="BZ78" s="671"/>
      <c r="CA78" s="671"/>
      <c r="CB78" s="671"/>
      <c r="CC78" s="671"/>
      <c r="CD78" s="671"/>
      <c r="CE78" s="671"/>
      <c r="CF78" s="671"/>
      <c r="CG78" s="671"/>
      <c r="CH78" s="671"/>
      <c r="CI78" s="671"/>
      <c r="CJ78" s="671"/>
      <c r="CK78" s="671"/>
      <c r="CL78" s="671"/>
      <c r="CM78" s="671"/>
      <c r="CN78" s="671"/>
      <c r="CO78" s="671"/>
      <c r="CP78" s="671"/>
      <c r="CQ78" s="671"/>
      <c r="CR78" s="671"/>
      <c r="CS78" s="671"/>
      <c r="CT78" s="671"/>
      <c r="CU78" s="671"/>
      <c r="CV78" s="671"/>
      <c r="CW78" s="671"/>
      <c r="CX78" s="671"/>
      <c r="CY78" s="671"/>
      <c r="CZ78" s="671"/>
      <c r="DA78" s="671"/>
      <c r="DB78" s="671"/>
      <c r="DC78" s="671"/>
      <c r="DD78" s="671"/>
      <c r="DE78" s="671"/>
      <c r="DF78" s="671"/>
      <c r="DG78" s="671"/>
      <c r="DH78" s="671"/>
      <c r="DI78" s="671"/>
      <c r="DJ78" s="671"/>
      <c r="DK78" s="671"/>
      <c r="DL78" s="671"/>
      <c r="DM78" s="671"/>
      <c r="DN78" s="671"/>
      <c r="DO78" s="671"/>
      <c r="DP78" s="671"/>
      <c r="DQ78" s="671"/>
      <c r="DR78" s="671"/>
      <c r="DS78" s="671"/>
      <c r="DT78" s="671"/>
      <c r="DU78" s="671"/>
      <c r="DV78" s="671"/>
      <c r="DW78" s="671"/>
      <c r="DX78" s="671"/>
      <c r="DY78" s="671"/>
      <c r="DZ78" s="671"/>
      <c r="EA78" s="671"/>
      <c r="EB78" s="671"/>
      <c r="EC78" s="671"/>
      <c r="ED78" s="671"/>
      <c r="EE78" s="671"/>
      <c r="EF78" s="671"/>
      <c r="EG78" s="671"/>
      <c r="EH78" s="671"/>
      <c r="EI78" s="671"/>
      <c r="EJ78" s="671"/>
      <c r="EK78" s="671"/>
      <c r="EL78" s="671"/>
      <c r="EM78" s="671"/>
      <c r="EN78" s="671"/>
      <c r="EO78" s="671"/>
      <c r="EP78" s="671"/>
      <c r="EQ78" s="671"/>
      <c r="ER78" s="671"/>
      <c r="ES78" s="671"/>
      <c r="ET78" s="671"/>
      <c r="EU78" s="671"/>
      <c r="EV78" s="671"/>
      <c r="EW78" s="671"/>
      <c r="EX78" s="671"/>
      <c r="EY78" s="671"/>
      <c r="EZ78" s="671"/>
      <c r="FA78" s="671"/>
      <c r="FB78" s="671"/>
      <c r="FC78" s="671"/>
      <c r="FD78" s="671"/>
      <c r="FE78" s="671"/>
      <c r="FF78" s="671"/>
      <c r="FG78" s="671"/>
      <c r="FH78" s="671"/>
      <c r="FI78" s="671"/>
      <c r="FJ78" s="671"/>
      <c r="FK78" s="671"/>
      <c r="FL78" s="671"/>
      <c r="FM78" s="671"/>
      <c r="FN78" s="671"/>
      <c r="FO78" s="671"/>
      <c r="FP78" s="671"/>
      <c r="FQ78" s="671"/>
      <c r="FR78" s="671"/>
      <c r="FS78" s="671"/>
      <c r="FT78" s="671"/>
      <c r="FU78" s="671"/>
      <c r="FV78" s="671"/>
      <c r="FW78" s="671"/>
      <c r="FX78" s="671"/>
      <c r="FY78" s="671"/>
      <c r="FZ78" s="671"/>
      <c r="GA78" s="671"/>
    </row>
    <row r="79" spans="1:183" s="44" customFormat="1" ht="10.199999999999999">
      <c r="A79" s="706" t="s">
        <v>294</v>
      </c>
      <c r="B79" s="707" t="s">
        <v>25</v>
      </c>
      <c r="C79" s="700" t="s">
        <v>495</v>
      </c>
      <c r="D79" s="700" t="s">
        <v>571</v>
      </c>
      <c r="E79" s="700" t="s">
        <v>572</v>
      </c>
      <c r="F79" s="700" t="s">
        <v>220</v>
      </c>
      <c r="G79" s="700" t="s">
        <v>573</v>
      </c>
      <c r="H79" s="700" t="s">
        <v>579</v>
      </c>
      <c r="N79" s="671"/>
      <c r="O79" s="671"/>
      <c r="P79" s="671"/>
      <c r="Q79" s="671"/>
      <c r="R79" s="671"/>
      <c r="S79" s="671"/>
      <c r="T79" s="671"/>
      <c r="U79" s="671"/>
      <c r="V79" s="671"/>
      <c r="W79" s="671"/>
      <c r="X79" s="671"/>
      <c r="Y79" s="671"/>
      <c r="Z79" s="671"/>
      <c r="AA79" s="671"/>
      <c r="AB79" s="671"/>
      <c r="AC79" s="671"/>
      <c r="AD79" s="671"/>
      <c r="AE79" s="671"/>
      <c r="AF79" s="671"/>
      <c r="AG79" s="671"/>
      <c r="AH79" s="671"/>
      <c r="AI79" s="671"/>
      <c r="AJ79" s="671"/>
      <c r="AK79" s="671"/>
      <c r="AL79" s="671"/>
      <c r="AM79" s="671"/>
      <c r="AN79" s="671"/>
      <c r="AO79" s="671"/>
      <c r="AP79" s="671"/>
      <c r="AQ79" s="671"/>
      <c r="AR79" s="671"/>
      <c r="AS79" s="671"/>
      <c r="AT79" s="671"/>
      <c r="AU79" s="671"/>
      <c r="AV79" s="671"/>
      <c r="AW79" s="671"/>
      <c r="AX79" s="671"/>
      <c r="AY79" s="671"/>
      <c r="AZ79" s="671"/>
      <c r="BA79" s="671"/>
      <c r="BB79" s="671"/>
      <c r="BC79" s="671"/>
      <c r="BD79" s="671"/>
      <c r="BE79" s="671"/>
      <c r="BF79" s="671"/>
      <c r="BG79" s="671"/>
      <c r="BH79" s="671"/>
      <c r="BI79" s="671"/>
      <c r="BJ79" s="671"/>
      <c r="BK79" s="671"/>
      <c r="BL79" s="671"/>
      <c r="BM79" s="671"/>
      <c r="BN79" s="671"/>
      <c r="BO79" s="671"/>
      <c r="BP79" s="671"/>
      <c r="BQ79" s="671"/>
      <c r="BR79" s="671"/>
      <c r="BS79" s="671"/>
      <c r="BT79" s="671"/>
      <c r="BU79" s="671"/>
      <c r="BV79" s="671"/>
      <c r="BW79" s="671"/>
      <c r="BX79" s="671"/>
      <c r="BY79" s="671"/>
      <c r="BZ79" s="671"/>
      <c r="CA79" s="671"/>
      <c r="CB79" s="671"/>
      <c r="CC79" s="671"/>
      <c r="CD79" s="671"/>
      <c r="CE79" s="671"/>
      <c r="CF79" s="671"/>
      <c r="CG79" s="671"/>
      <c r="CH79" s="671"/>
      <c r="CI79" s="671"/>
      <c r="CJ79" s="671"/>
      <c r="CK79" s="671"/>
      <c r="CL79" s="671"/>
      <c r="CM79" s="671"/>
      <c r="CN79" s="671"/>
      <c r="CO79" s="671"/>
      <c r="CP79" s="671"/>
      <c r="CQ79" s="671"/>
      <c r="CR79" s="671"/>
      <c r="CS79" s="671"/>
      <c r="CT79" s="671"/>
      <c r="CU79" s="671"/>
      <c r="CV79" s="671"/>
      <c r="CW79" s="671"/>
      <c r="CX79" s="671"/>
      <c r="CY79" s="671"/>
      <c r="CZ79" s="671"/>
      <c r="DA79" s="671"/>
      <c r="DB79" s="671"/>
      <c r="DC79" s="671"/>
      <c r="DD79" s="671"/>
      <c r="DE79" s="671"/>
      <c r="DF79" s="671"/>
      <c r="DG79" s="671"/>
      <c r="DH79" s="671"/>
      <c r="DI79" s="671"/>
      <c r="DJ79" s="671"/>
      <c r="DK79" s="671"/>
      <c r="DL79" s="671"/>
      <c r="DM79" s="671"/>
      <c r="DN79" s="671"/>
      <c r="DO79" s="671"/>
      <c r="DP79" s="671"/>
      <c r="DQ79" s="671"/>
      <c r="DR79" s="671"/>
      <c r="DS79" s="671"/>
      <c r="DT79" s="671"/>
      <c r="DU79" s="671"/>
      <c r="DV79" s="671"/>
      <c r="DW79" s="671"/>
      <c r="DX79" s="671"/>
      <c r="DY79" s="671"/>
      <c r="DZ79" s="671"/>
      <c r="EA79" s="671"/>
      <c r="EB79" s="671"/>
      <c r="EC79" s="671"/>
      <c r="ED79" s="671"/>
      <c r="EE79" s="671"/>
      <c r="EF79" s="671"/>
      <c r="EG79" s="671"/>
      <c r="EH79" s="671"/>
      <c r="EI79" s="671"/>
      <c r="EJ79" s="671"/>
      <c r="EK79" s="671"/>
      <c r="EL79" s="671"/>
      <c r="EM79" s="671"/>
      <c r="EN79" s="671"/>
      <c r="EO79" s="671"/>
      <c r="EP79" s="671"/>
      <c r="EQ79" s="671"/>
      <c r="ER79" s="671"/>
      <c r="ES79" s="671"/>
      <c r="ET79" s="671"/>
      <c r="EU79" s="671"/>
      <c r="EV79" s="671"/>
      <c r="EW79" s="671"/>
      <c r="EX79" s="671"/>
      <c r="EY79" s="671"/>
      <c r="EZ79" s="671"/>
      <c r="FA79" s="671"/>
      <c r="FB79" s="671"/>
      <c r="FC79" s="671"/>
      <c r="FD79" s="671"/>
      <c r="FE79" s="671"/>
      <c r="FF79" s="671"/>
      <c r="FG79" s="671"/>
      <c r="FH79" s="671"/>
      <c r="FI79" s="671"/>
      <c r="FJ79" s="671"/>
      <c r="FK79" s="671"/>
      <c r="FL79" s="671"/>
      <c r="FM79" s="671"/>
      <c r="FN79" s="671"/>
      <c r="FO79" s="671"/>
      <c r="FP79" s="671"/>
      <c r="FQ79" s="671"/>
      <c r="FR79" s="671"/>
      <c r="FS79" s="671"/>
      <c r="FT79" s="671"/>
      <c r="FU79" s="671"/>
      <c r="FV79" s="671"/>
      <c r="FW79" s="671"/>
      <c r="FX79" s="671"/>
      <c r="FY79" s="671"/>
      <c r="FZ79" s="671"/>
      <c r="GA79" s="671"/>
    </row>
    <row r="80" spans="1:183" s="44" customFormat="1" ht="10.199999999999999">
      <c r="A80" s="706"/>
      <c r="B80" s="707"/>
      <c r="C80" s="701"/>
      <c r="D80" s="701"/>
      <c r="E80" s="701"/>
      <c r="F80" s="701"/>
      <c r="G80" s="701"/>
      <c r="H80" s="701"/>
      <c r="N80" s="671"/>
      <c r="O80" s="671"/>
      <c r="P80" s="671"/>
      <c r="Q80" s="671"/>
      <c r="R80" s="671"/>
      <c r="S80" s="671"/>
      <c r="T80" s="671"/>
      <c r="U80" s="671"/>
      <c r="V80" s="671"/>
      <c r="W80" s="671"/>
      <c r="X80" s="671"/>
      <c r="Y80" s="671"/>
      <c r="Z80" s="671"/>
      <c r="AA80" s="671"/>
      <c r="AB80" s="671"/>
      <c r="AC80" s="671"/>
      <c r="AD80" s="671"/>
      <c r="AE80" s="671"/>
      <c r="AF80" s="671"/>
      <c r="AG80" s="671"/>
      <c r="AH80" s="671"/>
      <c r="AI80" s="671"/>
      <c r="AJ80" s="671"/>
      <c r="AK80" s="671"/>
      <c r="AL80" s="671"/>
      <c r="AM80" s="671"/>
      <c r="AN80" s="671"/>
      <c r="AO80" s="671"/>
      <c r="AP80" s="671"/>
      <c r="AQ80" s="671"/>
      <c r="AR80" s="671"/>
      <c r="AS80" s="671"/>
      <c r="AT80" s="671"/>
      <c r="AU80" s="671"/>
      <c r="AV80" s="671"/>
      <c r="AW80" s="671"/>
      <c r="AX80" s="671"/>
      <c r="AY80" s="671"/>
      <c r="AZ80" s="671"/>
      <c r="BA80" s="671"/>
      <c r="BB80" s="671"/>
      <c r="BC80" s="671"/>
      <c r="BD80" s="671"/>
      <c r="BE80" s="671"/>
      <c r="BF80" s="671"/>
      <c r="BG80" s="671"/>
      <c r="BH80" s="671"/>
      <c r="BI80" s="671"/>
      <c r="BJ80" s="671"/>
      <c r="BK80" s="671"/>
      <c r="BL80" s="671"/>
      <c r="BM80" s="671"/>
      <c r="BN80" s="671"/>
      <c r="BO80" s="671"/>
      <c r="BP80" s="671"/>
      <c r="BQ80" s="671"/>
      <c r="BR80" s="671"/>
      <c r="BS80" s="671"/>
      <c r="BT80" s="671"/>
      <c r="BU80" s="671"/>
      <c r="BV80" s="671"/>
      <c r="BW80" s="671"/>
      <c r="BX80" s="671"/>
      <c r="BY80" s="671"/>
      <c r="BZ80" s="671"/>
      <c r="CA80" s="671"/>
      <c r="CB80" s="671"/>
      <c r="CC80" s="671"/>
      <c r="CD80" s="671"/>
      <c r="CE80" s="671"/>
      <c r="CF80" s="671"/>
      <c r="CG80" s="671"/>
      <c r="CH80" s="671"/>
      <c r="CI80" s="671"/>
      <c r="CJ80" s="671"/>
      <c r="CK80" s="671"/>
      <c r="CL80" s="671"/>
      <c r="CM80" s="671"/>
      <c r="CN80" s="671"/>
      <c r="CO80" s="671"/>
      <c r="CP80" s="671"/>
      <c r="CQ80" s="671"/>
      <c r="CR80" s="671"/>
      <c r="CS80" s="671"/>
      <c r="CT80" s="671"/>
      <c r="CU80" s="671"/>
      <c r="CV80" s="671"/>
      <c r="CW80" s="671"/>
      <c r="CX80" s="671"/>
      <c r="CY80" s="671"/>
      <c r="CZ80" s="671"/>
      <c r="DA80" s="671"/>
      <c r="DB80" s="671"/>
      <c r="DC80" s="671"/>
      <c r="DD80" s="671"/>
      <c r="DE80" s="671"/>
      <c r="DF80" s="671"/>
      <c r="DG80" s="671"/>
      <c r="DH80" s="671"/>
      <c r="DI80" s="671"/>
      <c r="DJ80" s="671"/>
      <c r="DK80" s="671"/>
      <c r="DL80" s="671"/>
      <c r="DM80" s="671"/>
      <c r="DN80" s="671"/>
      <c r="DO80" s="671"/>
      <c r="DP80" s="671"/>
      <c r="DQ80" s="671"/>
      <c r="DR80" s="671"/>
      <c r="DS80" s="671"/>
      <c r="DT80" s="671"/>
      <c r="DU80" s="671"/>
      <c r="DV80" s="671"/>
      <c r="DW80" s="671"/>
      <c r="DX80" s="671"/>
      <c r="DY80" s="671"/>
      <c r="DZ80" s="671"/>
      <c r="EA80" s="671"/>
      <c r="EB80" s="671"/>
      <c r="EC80" s="671"/>
      <c r="ED80" s="671"/>
      <c r="EE80" s="671"/>
      <c r="EF80" s="671"/>
      <c r="EG80" s="671"/>
      <c r="EH80" s="671"/>
      <c r="EI80" s="671"/>
      <c r="EJ80" s="671"/>
      <c r="EK80" s="671"/>
      <c r="EL80" s="671"/>
      <c r="EM80" s="671"/>
      <c r="EN80" s="671"/>
      <c r="EO80" s="671"/>
      <c r="EP80" s="671"/>
      <c r="EQ80" s="671"/>
      <c r="ER80" s="671"/>
      <c r="ES80" s="671"/>
      <c r="ET80" s="671"/>
      <c r="EU80" s="671"/>
      <c r="EV80" s="671"/>
      <c r="EW80" s="671"/>
      <c r="EX80" s="671"/>
      <c r="EY80" s="671"/>
      <c r="EZ80" s="671"/>
      <c r="FA80" s="671"/>
      <c r="FB80" s="671"/>
      <c r="FC80" s="671"/>
      <c r="FD80" s="671"/>
      <c r="FE80" s="671"/>
      <c r="FF80" s="671"/>
      <c r="FG80" s="671"/>
      <c r="FH80" s="671"/>
      <c r="FI80" s="671"/>
      <c r="FJ80" s="671"/>
      <c r="FK80" s="671"/>
      <c r="FL80" s="671"/>
      <c r="FM80" s="671"/>
      <c r="FN80" s="671"/>
      <c r="FO80" s="671"/>
      <c r="FP80" s="671"/>
      <c r="FQ80" s="671"/>
      <c r="FR80" s="671"/>
      <c r="FS80" s="671"/>
      <c r="FT80" s="671"/>
      <c r="FU80" s="671"/>
      <c r="FV80" s="671"/>
      <c r="FW80" s="671"/>
      <c r="FX80" s="671"/>
      <c r="FY80" s="671"/>
      <c r="FZ80" s="671"/>
      <c r="GA80" s="671"/>
    </row>
    <row r="81" spans="1:183" s="44" customFormat="1" ht="10.199999999999999">
      <c r="A81" s="446" t="s">
        <v>580</v>
      </c>
      <c r="B81" s="447"/>
      <c r="C81" s="447"/>
      <c r="D81" s="447"/>
      <c r="E81" s="447"/>
      <c r="F81" s="447"/>
      <c r="G81" s="447"/>
      <c r="H81" s="447"/>
      <c r="N81" s="671"/>
      <c r="O81" s="671"/>
      <c r="P81" s="671"/>
      <c r="Q81" s="671"/>
      <c r="R81" s="671"/>
      <c r="S81" s="671"/>
      <c r="T81" s="671"/>
      <c r="U81" s="671"/>
      <c r="V81" s="671"/>
      <c r="W81" s="671"/>
      <c r="X81" s="671"/>
      <c r="Y81" s="671"/>
      <c r="Z81" s="671"/>
      <c r="AA81" s="671"/>
      <c r="AB81" s="671"/>
      <c r="AC81" s="671"/>
      <c r="AD81" s="671"/>
      <c r="AE81" s="671"/>
      <c r="AF81" s="671"/>
      <c r="AG81" s="671"/>
      <c r="AH81" s="671"/>
      <c r="AI81" s="671"/>
      <c r="AJ81" s="671"/>
      <c r="AK81" s="671"/>
      <c r="AL81" s="671"/>
      <c r="AM81" s="671"/>
      <c r="AN81" s="671"/>
      <c r="AO81" s="671"/>
      <c r="AP81" s="671"/>
      <c r="AQ81" s="671"/>
      <c r="AR81" s="671"/>
      <c r="AS81" s="671"/>
      <c r="AT81" s="671"/>
      <c r="AU81" s="671"/>
      <c r="AV81" s="671"/>
      <c r="AW81" s="671"/>
      <c r="AX81" s="671"/>
      <c r="AY81" s="671"/>
      <c r="AZ81" s="671"/>
      <c r="BA81" s="671"/>
      <c r="BB81" s="671"/>
      <c r="BC81" s="671"/>
      <c r="BD81" s="671"/>
      <c r="BE81" s="671"/>
      <c r="BF81" s="671"/>
      <c r="BG81" s="671"/>
      <c r="BH81" s="671"/>
      <c r="BI81" s="671"/>
      <c r="BJ81" s="671"/>
      <c r="BK81" s="671"/>
      <c r="BL81" s="671"/>
      <c r="BM81" s="671"/>
      <c r="BN81" s="671"/>
      <c r="BO81" s="671"/>
      <c r="BP81" s="671"/>
      <c r="BQ81" s="671"/>
      <c r="BR81" s="671"/>
      <c r="BS81" s="671"/>
      <c r="BT81" s="671"/>
      <c r="BU81" s="671"/>
      <c r="BV81" s="671"/>
      <c r="BW81" s="671"/>
      <c r="BX81" s="671"/>
      <c r="BY81" s="671"/>
      <c r="BZ81" s="671"/>
      <c r="CA81" s="671"/>
      <c r="CB81" s="671"/>
      <c r="CC81" s="671"/>
      <c r="CD81" s="671"/>
      <c r="CE81" s="671"/>
      <c r="CF81" s="671"/>
      <c r="CG81" s="671"/>
      <c r="CH81" s="671"/>
      <c r="CI81" s="671"/>
      <c r="CJ81" s="671"/>
      <c r="CK81" s="671"/>
      <c r="CL81" s="671"/>
      <c r="CM81" s="671"/>
      <c r="CN81" s="671"/>
      <c r="CO81" s="671"/>
      <c r="CP81" s="671"/>
      <c r="CQ81" s="671"/>
      <c r="CR81" s="671"/>
      <c r="CS81" s="671"/>
      <c r="CT81" s="671"/>
      <c r="CU81" s="671"/>
      <c r="CV81" s="671"/>
      <c r="CW81" s="671"/>
      <c r="CX81" s="671"/>
      <c r="CY81" s="671"/>
      <c r="CZ81" s="671"/>
      <c r="DA81" s="671"/>
      <c r="DB81" s="671"/>
      <c r="DC81" s="671"/>
      <c r="DD81" s="671"/>
      <c r="DE81" s="671"/>
      <c r="DF81" s="671"/>
      <c r="DG81" s="671"/>
      <c r="DH81" s="671"/>
      <c r="DI81" s="671"/>
      <c r="DJ81" s="671"/>
      <c r="DK81" s="671"/>
      <c r="DL81" s="671"/>
      <c r="DM81" s="671"/>
      <c r="DN81" s="671"/>
      <c r="DO81" s="671"/>
      <c r="DP81" s="671"/>
      <c r="DQ81" s="671"/>
      <c r="DR81" s="671"/>
      <c r="DS81" s="671"/>
      <c r="DT81" s="671"/>
      <c r="DU81" s="671"/>
      <c r="DV81" s="671"/>
      <c r="DW81" s="671"/>
      <c r="DX81" s="671"/>
      <c r="DY81" s="671"/>
      <c r="DZ81" s="671"/>
      <c r="EA81" s="671"/>
      <c r="EB81" s="671"/>
      <c r="EC81" s="671"/>
      <c r="ED81" s="671"/>
      <c r="EE81" s="671"/>
      <c r="EF81" s="671"/>
      <c r="EG81" s="671"/>
      <c r="EH81" s="671"/>
      <c r="EI81" s="671"/>
      <c r="EJ81" s="671"/>
      <c r="EK81" s="671"/>
      <c r="EL81" s="671"/>
      <c r="EM81" s="671"/>
      <c r="EN81" s="671"/>
      <c r="EO81" s="671"/>
      <c r="EP81" s="671"/>
      <c r="EQ81" s="671"/>
      <c r="ER81" s="671"/>
      <c r="ES81" s="671"/>
      <c r="ET81" s="671"/>
      <c r="EU81" s="671"/>
      <c r="EV81" s="671"/>
      <c r="EW81" s="671"/>
      <c r="EX81" s="671"/>
      <c r="EY81" s="671"/>
      <c r="EZ81" s="671"/>
      <c r="FA81" s="671"/>
      <c r="FB81" s="671"/>
      <c r="FC81" s="671"/>
      <c r="FD81" s="671"/>
      <c r="FE81" s="671"/>
      <c r="FF81" s="671"/>
      <c r="FG81" s="671"/>
      <c r="FH81" s="671"/>
      <c r="FI81" s="671"/>
      <c r="FJ81" s="671"/>
      <c r="FK81" s="671"/>
      <c r="FL81" s="671"/>
      <c r="FM81" s="671"/>
      <c r="FN81" s="671"/>
      <c r="FO81" s="671"/>
      <c r="FP81" s="671"/>
      <c r="FQ81" s="671"/>
      <c r="FR81" s="671"/>
      <c r="FS81" s="671"/>
      <c r="FT81" s="671"/>
      <c r="FU81" s="671"/>
      <c r="FV81" s="671"/>
      <c r="FW81" s="671"/>
      <c r="FX81" s="671"/>
      <c r="FY81" s="671"/>
      <c r="FZ81" s="671"/>
      <c r="GA81" s="671"/>
    </row>
    <row r="82" spans="1:183" s="44" customFormat="1" ht="10.199999999999999">
      <c r="A82" s="36" t="s">
        <v>581</v>
      </c>
      <c r="B82" s="125">
        <f>SUM(H82:H82)</f>
        <v>0</v>
      </c>
      <c r="C82" s="125">
        <v>0</v>
      </c>
      <c r="D82" s="125">
        <v>0</v>
      </c>
      <c r="E82" s="125">
        <v>0</v>
      </c>
      <c r="F82" s="125">
        <v>0</v>
      </c>
      <c r="G82" s="125">
        <v>0</v>
      </c>
      <c r="H82" s="126">
        <v>0</v>
      </c>
      <c r="N82" s="671"/>
      <c r="O82" s="671"/>
      <c r="P82" s="671"/>
      <c r="Q82" s="671"/>
      <c r="R82" s="671"/>
      <c r="S82" s="671"/>
      <c r="T82" s="671"/>
      <c r="U82" s="671"/>
      <c r="V82" s="671"/>
      <c r="W82" s="671"/>
      <c r="X82" s="671"/>
      <c r="Y82" s="671"/>
      <c r="Z82" s="671"/>
      <c r="AA82" s="671"/>
      <c r="AB82" s="671"/>
      <c r="AC82" s="671"/>
      <c r="AD82" s="671"/>
      <c r="AE82" s="671"/>
      <c r="AF82" s="671"/>
      <c r="AG82" s="671"/>
      <c r="AH82" s="671"/>
      <c r="AI82" s="671"/>
      <c r="AJ82" s="671"/>
      <c r="AK82" s="671"/>
      <c r="AL82" s="671"/>
      <c r="AM82" s="671"/>
      <c r="AN82" s="671"/>
      <c r="AO82" s="671"/>
      <c r="AP82" s="671"/>
      <c r="AQ82" s="671"/>
      <c r="AR82" s="671"/>
      <c r="AS82" s="671"/>
      <c r="AT82" s="671"/>
      <c r="AU82" s="671"/>
      <c r="AV82" s="671"/>
      <c r="AW82" s="671"/>
      <c r="AX82" s="671"/>
      <c r="AY82" s="671"/>
      <c r="AZ82" s="671"/>
      <c r="BA82" s="671"/>
      <c r="BB82" s="671"/>
      <c r="BC82" s="671"/>
      <c r="BD82" s="671"/>
      <c r="BE82" s="671"/>
      <c r="BF82" s="671"/>
      <c r="BG82" s="671"/>
      <c r="BH82" s="671"/>
      <c r="BI82" s="671"/>
      <c r="BJ82" s="671"/>
      <c r="BK82" s="671"/>
      <c r="BL82" s="671"/>
      <c r="BM82" s="671"/>
      <c r="BN82" s="671"/>
      <c r="BO82" s="671"/>
      <c r="BP82" s="671"/>
      <c r="BQ82" s="671"/>
      <c r="BR82" s="671"/>
      <c r="BS82" s="671"/>
      <c r="BT82" s="671"/>
      <c r="BU82" s="671"/>
      <c r="BV82" s="671"/>
      <c r="BW82" s="671"/>
      <c r="BX82" s="671"/>
      <c r="BY82" s="671"/>
      <c r="BZ82" s="671"/>
      <c r="CA82" s="671"/>
      <c r="CB82" s="671"/>
      <c r="CC82" s="671"/>
      <c r="CD82" s="671"/>
      <c r="CE82" s="671"/>
      <c r="CF82" s="671"/>
      <c r="CG82" s="671"/>
      <c r="CH82" s="671"/>
      <c r="CI82" s="671"/>
      <c r="CJ82" s="671"/>
      <c r="CK82" s="671"/>
      <c r="CL82" s="671"/>
      <c r="CM82" s="671"/>
      <c r="CN82" s="671"/>
      <c r="CO82" s="671"/>
      <c r="CP82" s="671"/>
      <c r="CQ82" s="671"/>
      <c r="CR82" s="671"/>
      <c r="CS82" s="671"/>
      <c r="CT82" s="671"/>
      <c r="CU82" s="671"/>
      <c r="CV82" s="671"/>
      <c r="CW82" s="671"/>
      <c r="CX82" s="671"/>
      <c r="CY82" s="671"/>
      <c r="CZ82" s="671"/>
      <c r="DA82" s="671"/>
      <c r="DB82" s="671"/>
      <c r="DC82" s="671"/>
      <c r="DD82" s="671"/>
      <c r="DE82" s="671"/>
      <c r="DF82" s="671"/>
      <c r="DG82" s="671"/>
      <c r="DH82" s="671"/>
      <c r="DI82" s="671"/>
      <c r="DJ82" s="671"/>
      <c r="DK82" s="671"/>
      <c r="DL82" s="671"/>
      <c r="DM82" s="671"/>
      <c r="DN82" s="671"/>
      <c r="DO82" s="671"/>
      <c r="DP82" s="671"/>
      <c r="DQ82" s="671"/>
      <c r="DR82" s="671"/>
      <c r="DS82" s="671"/>
      <c r="DT82" s="671"/>
      <c r="DU82" s="671"/>
      <c r="DV82" s="671"/>
      <c r="DW82" s="671"/>
      <c r="DX82" s="671"/>
      <c r="DY82" s="671"/>
      <c r="DZ82" s="671"/>
      <c r="EA82" s="671"/>
      <c r="EB82" s="671"/>
      <c r="EC82" s="671"/>
      <c r="ED82" s="671"/>
      <c r="EE82" s="671"/>
      <c r="EF82" s="671"/>
      <c r="EG82" s="671"/>
      <c r="EH82" s="671"/>
      <c r="EI82" s="671"/>
      <c r="EJ82" s="671"/>
      <c r="EK82" s="671"/>
      <c r="EL82" s="671"/>
      <c r="EM82" s="671"/>
      <c r="EN82" s="671"/>
      <c r="EO82" s="671"/>
      <c r="EP82" s="671"/>
      <c r="EQ82" s="671"/>
      <c r="ER82" s="671"/>
      <c r="ES82" s="671"/>
      <c r="ET82" s="671"/>
      <c r="EU82" s="671"/>
      <c r="EV82" s="671"/>
      <c r="EW82" s="671"/>
      <c r="EX82" s="671"/>
      <c r="EY82" s="671"/>
      <c r="EZ82" s="671"/>
      <c r="FA82" s="671"/>
      <c r="FB82" s="671"/>
      <c r="FC82" s="671"/>
      <c r="FD82" s="671"/>
      <c r="FE82" s="671"/>
      <c r="FF82" s="671"/>
      <c r="FG82" s="671"/>
      <c r="FH82" s="671"/>
      <c r="FI82" s="671"/>
      <c r="FJ82" s="671"/>
      <c r="FK82" s="671"/>
      <c r="FL82" s="671"/>
      <c r="FM82" s="671"/>
      <c r="FN82" s="671"/>
      <c r="FO82" s="671"/>
      <c r="FP82" s="671"/>
      <c r="FQ82" s="671"/>
      <c r="FR82" s="671"/>
      <c r="FS82" s="671"/>
      <c r="FT82" s="671"/>
      <c r="FU82" s="671"/>
      <c r="FV82" s="671"/>
      <c r="FW82" s="671"/>
      <c r="FX82" s="671"/>
      <c r="FY82" s="671"/>
      <c r="FZ82" s="671"/>
      <c r="GA82" s="671"/>
    </row>
    <row r="83" spans="1:183" s="44" customFormat="1" ht="10.199999999999999">
      <c r="A83" s="36" t="s">
        <v>582</v>
      </c>
      <c r="B83" s="125"/>
      <c r="C83" s="125"/>
      <c r="D83" s="125"/>
      <c r="E83" s="125"/>
      <c r="F83" s="125"/>
      <c r="G83" s="125"/>
      <c r="H83" s="126"/>
      <c r="N83" s="671"/>
      <c r="O83" s="671"/>
      <c r="P83" s="671"/>
      <c r="Q83" s="671"/>
      <c r="R83" s="671"/>
      <c r="S83" s="671"/>
      <c r="T83" s="671"/>
      <c r="U83" s="671"/>
      <c r="V83" s="671"/>
      <c r="W83" s="671"/>
      <c r="X83" s="671"/>
      <c r="Y83" s="671"/>
      <c r="Z83" s="671"/>
      <c r="AA83" s="671"/>
      <c r="AB83" s="671"/>
      <c r="AC83" s="671"/>
      <c r="AD83" s="671"/>
      <c r="AE83" s="671"/>
      <c r="AF83" s="671"/>
      <c r="AG83" s="671"/>
      <c r="AH83" s="671"/>
      <c r="AI83" s="671"/>
      <c r="AJ83" s="671"/>
      <c r="AK83" s="671"/>
      <c r="AL83" s="671"/>
      <c r="AM83" s="671"/>
      <c r="AN83" s="671"/>
      <c r="AO83" s="671"/>
      <c r="AP83" s="671"/>
      <c r="AQ83" s="671"/>
      <c r="AR83" s="671"/>
      <c r="AS83" s="671"/>
      <c r="AT83" s="671"/>
      <c r="AU83" s="671"/>
      <c r="AV83" s="671"/>
      <c r="AW83" s="671"/>
      <c r="AX83" s="671"/>
      <c r="AY83" s="671"/>
      <c r="AZ83" s="671"/>
      <c r="BA83" s="671"/>
      <c r="BB83" s="671"/>
      <c r="BC83" s="671"/>
      <c r="BD83" s="671"/>
      <c r="BE83" s="671"/>
      <c r="BF83" s="671"/>
      <c r="BG83" s="671"/>
      <c r="BH83" s="671"/>
      <c r="BI83" s="671"/>
      <c r="BJ83" s="671"/>
      <c r="BK83" s="671"/>
      <c r="BL83" s="671"/>
      <c r="BM83" s="671"/>
      <c r="BN83" s="671"/>
      <c r="BO83" s="671"/>
      <c r="BP83" s="671"/>
      <c r="BQ83" s="671"/>
      <c r="BR83" s="671"/>
      <c r="BS83" s="671"/>
      <c r="BT83" s="671"/>
      <c r="BU83" s="671"/>
      <c r="BV83" s="671"/>
      <c r="BW83" s="671"/>
      <c r="BX83" s="671"/>
      <c r="BY83" s="671"/>
      <c r="BZ83" s="671"/>
      <c r="CA83" s="671"/>
      <c r="CB83" s="671"/>
      <c r="CC83" s="671"/>
      <c r="CD83" s="671"/>
      <c r="CE83" s="671"/>
      <c r="CF83" s="671"/>
      <c r="CG83" s="671"/>
      <c r="CH83" s="671"/>
      <c r="CI83" s="671"/>
      <c r="CJ83" s="671"/>
      <c r="CK83" s="671"/>
      <c r="CL83" s="671"/>
      <c r="CM83" s="671"/>
      <c r="CN83" s="671"/>
      <c r="CO83" s="671"/>
      <c r="CP83" s="671"/>
      <c r="CQ83" s="671"/>
      <c r="CR83" s="671"/>
      <c r="CS83" s="671"/>
      <c r="CT83" s="671"/>
      <c r="CU83" s="671"/>
      <c r="CV83" s="671"/>
      <c r="CW83" s="671"/>
      <c r="CX83" s="671"/>
      <c r="CY83" s="671"/>
      <c r="CZ83" s="671"/>
      <c r="DA83" s="671"/>
      <c r="DB83" s="671"/>
      <c r="DC83" s="671"/>
      <c r="DD83" s="671"/>
      <c r="DE83" s="671"/>
      <c r="DF83" s="671"/>
      <c r="DG83" s="671"/>
      <c r="DH83" s="671"/>
      <c r="DI83" s="671"/>
      <c r="DJ83" s="671"/>
      <c r="DK83" s="671"/>
      <c r="DL83" s="671"/>
      <c r="DM83" s="671"/>
      <c r="DN83" s="671"/>
      <c r="DO83" s="671"/>
      <c r="DP83" s="671"/>
      <c r="DQ83" s="671"/>
      <c r="DR83" s="671"/>
      <c r="DS83" s="671"/>
      <c r="DT83" s="671"/>
      <c r="DU83" s="671"/>
      <c r="DV83" s="671"/>
      <c r="DW83" s="671"/>
      <c r="DX83" s="671"/>
      <c r="DY83" s="671"/>
      <c r="DZ83" s="671"/>
      <c r="EA83" s="671"/>
      <c r="EB83" s="671"/>
      <c r="EC83" s="671"/>
      <c r="ED83" s="671"/>
      <c r="EE83" s="671"/>
      <c r="EF83" s="671"/>
      <c r="EG83" s="671"/>
      <c r="EH83" s="671"/>
      <c r="EI83" s="671"/>
      <c r="EJ83" s="671"/>
      <c r="EK83" s="671"/>
      <c r="EL83" s="671"/>
      <c r="EM83" s="671"/>
      <c r="EN83" s="671"/>
      <c r="EO83" s="671"/>
      <c r="EP83" s="671"/>
      <c r="EQ83" s="671"/>
      <c r="ER83" s="671"/>
      <c r="ES83" s="671"/>
      <c r="ET83" s="671"/>
      <c r="EU83" s="671"/>
      <c r="EV83" s="671"/>
      <c r="EW83" s="671"/>
      <c r="EX83" s="671"/>
      <c r="EY83" s="671"/>
      <c r="EZ83" s="671"/>
      <c r="FA83" s="671"/>
      <c r="FB83" s="671"/>
      <c r="FC83" s="671"/>
      <c r="FD83" s="671"/>
      <c r="FE83" s="671"/>
      <c r="FF83" s="671"/>
      <c r="FG83" s="671"/>
      <c r="FH83" s="671"/>
      <c r="FI83" s="671"/>
      <c r="FJ83" s="671"/>
      <c r="FK83" s="671"/>
      <c r="FL83" s="671"/>
      <c r="FM83" s="671"/>
      <c r="FN83" s="671"/>
      <c r="FO83" s="671"/>
      <c r="FP83" s="671"/>
      <c r="FQ83" s="671"/>
      <c r="FR83" s="671"/>
      <c r="FS83" s="671"/>
      <c r="FT83" s="671"/>
      <c r="FU83" s="671"/>
      <c r="FV83" s="671"/>
      <c r="FW83" s="671"/>
      <c r="FX83" s="671"/>
      <c r="FY83" s="671"/>
      <c r="FZ83" s="671"/>
      <c r="GA83" s="671"/>
    </row>
    <row r="84" spans="1:183" s="44" customFormat="1" ht="10.199999999999999">
      <c r="A84" s="60" t="s">
        <v>583</v>
      </c>
      <c r="B84" s="125">
        <f>B82-B83</f>
        <v>0</v>
      </c>
      <c r="C84" s="125">
        <v>0</v>
      </c>
      <c r="D84" s="125">
        <v>0</v>
      </c>
      <c r="E84" s="125">
        <v>0</v>
      </c>
      <c r="F84" s="125">
        <v>0</v>
      </c>
      <c r="G84" s="125">
        <v>0</v>
      </c>
      <c r="H84" s="125">
        <f>H82-H83</f>
        <v>0</v>
      </c>
      <c r="N84" s="671"/>
      <c r="O84" s="671"/>
      <c r="P84" s="671"/>
      <c r="Q84" s="671"/>
      <c r="R84" s="671"/>
      <c r="S84" s="671"/>
      <c r="T84" s="671"/>
      <c r="U84" s="671"/>
      <c r="V84" s="671"/>
      <c r="W84" s="671"/>
      <c r="X84" s="671"/>
      <c r="Y84" s="671"/>
      <c r="Z84" s="671"/>
      <c r="AA84" s="671"/>
      <c r="AB84" s="671"/>
      <c r="AC84" s="671"/>
      <c r="AD84" s="671"/>
      <c r="AE84" s="671"/>
      <c r="AF84" s="671"/>
      <c r="AG84" s="671"/>
      <c r="AH84" s="671"/>
      <c r="AI84" s="671"/>
      <c r="AJ84" s="671"/>
      <c r="AK84" s="671"/>
      <c r="AL84" s="671"/>
      <c r="AM84" s="671"/>
      <c r="AN84" s="671"/>
      <c r="AO84" s="671"/>
      <c r="AP84" s="671"/>
      <c r="AQ84" s="671"/>
      <c r="AR84" s="671"/>
      <c r="AS84" s="671"/>
      <c r="AT84" s="671"/>
      <c r="AU84" s="671"/>
      <c r="AV84" s="671"/>
      <c r="AW84" s="671"/>
      <c r="AX84" s="671"/>
      <c r="AY84" s="671"/>
      <c r="AZ84" s="671"/>
      <c r="BA84" s="671"/>
      <c r="BB84" s="671"/>
      <c r="BC84" s="671"/>
      <c r="BD84" s="671"/>
      <c r="BE84" s="671"/>
      <c r="BF84" s="671"/>
      <c r="BG84" s="671"/>
      <c r="BH84" s="671"/>
      <c r="BI84" s="671"/>
      <c r="BJ84" s="671"/>
      <c r="BK84" s="671"/>
      <c r="BL84" s="671"/>
      <c r="BM84" s="671"/>
      <c r="BN84" s="671"/>
      <c r="BO84" s="671"/>
      <c r="BP84" s="671"/>
      <c r="BQ84" s="671"/>
      <c r="BR84" s="671"/>
      <c r="BS84" s="671"/>
      <c r="BT84" s="671"/>
      <c r="BU84" s="671"/>
      <c r="BV84" s="671"/>
      <c r="BW84" s="671"/>
      <c r="BX84" s="671"/>
      <c r="BY84" s="671"/>
      <c r="BZ84" s="671"/>
      <c r="CA84" s="671"/>
      <c r="CB84" s="671"/>
      <c r="CC84" s="671"/>
      <c r="CD84" s="671"/>
      <c r="CE84" s="671"/>
      <c r="CF84" s="671"/>
      <c r="CG84" s="671"/>
      <c r="CH84" s="671"/>
      <c r="CI84" s="671"/>
      <c r="CJ84" s="671"/>
      <c r="CK84" s="671"/>
      <c r="CL84" s="671"/>
      <c r="CM84" s="671"/>
      <c r="CN84" s="671"/>
      <c r="CO84" s="671"/>
      <c r="CP84" s="671"/>
      <c r="CQ84" s="671"/>
      <c r="CR84" s="671"/>
      <c r="CS84" s="671"/>
      <c r="CT84" s="671"/>
      <c r="CU84" s="671"/>
      <c r="CV84" s="671"/>
      <c r="CW84" s="671"/>
      <c r="CX84" s="671"/>
      <c r="CY84" s="671"/>
      <c r="CZ84" s="671"/>
      <c r="DA84" s="671"/>
      <c r="DB84" s="671"/>
      <c r="DC84" s="671"/>
      <c r="DD84" s="671"/>
      <c r="DE84" s="671"/>
      <c r="DF84" s="671"/>
      <c r="DG84" s="671"/>
      <c r="DH84" s="671"/>
      <c r="DI84" s="671"/>
      <c r="DJ84" s="671"/>
      <c r="DK84" s="671"/>
      <c r="DL84" s="671"/>
      <c r="DM84" s="671"/>
      <c r="DN84" s="671"/>
      <c r="DO84" s="671"/>
      <c r="DP84" s="671"/>
      <c r="DQ84" s="671"/>
      <c r="DR84" s="671"/>
      <c r="DS84" s="671"/>
      <c r="DT84" s="671"/>
      <c r="DU84" s="671"/>
      <c r="DV84" s="671"/>
      <c r="DW84" s="671"/>
      <c r="DX84" s="671"/>
      <c r="DY84" s="671"/>
      <c r="DZ84" s="671"/>
      <c r="EA84" s="671"/>
      <c r="EB84" s="671"/>
      <c r="EC84" s="671"/>
      <c r="ED84" s="671"/>
      <c r="EE84" s="671"/>
      <c r="EF84" s="671"/>
      <c r="EG84" s="671"/>
      <c r="EH84" s="671"/>
      <c r="EI84" s="671"/>
      <c r="EJ84" s="671"/>
      <c r="EK84" s="671"/>
      <c r="EL84" s="671"/>
      <c r="EM84" s="671"/>
      <c r="EN84" s="671"/>
      <c r="EO84" s="671"/>
      <c r="EP84" s="671"/>
      <c r="EQ84" s="671"/>
      <c r="ER84" s="671"/>
      <c r="ES84" s="671"/>
      <c r="ET84" s="671"/>
      <c r="EU84" s="671"/>
      <c r="EV84" s="671"/>
      <c r="EW84" s="671"/>
      <c r="EX84" s="671"/>
      <c r="EY84" s="671"/>
      <c r="EZ84" s="671"/>
      <c r="FA84" s="671"/>
      <c r="FB84" s="671"/>
      <c r="FC84" s="671"/>
      <c r="FD84" s="671"/>
      <c r="FE84" s="671"/>
      <c r="FF84" s="671"/>
      <c r="FG84" s="671"/>
      <c r="FH84" s="671"/>
      <c r="FI84" s="671"/>
      <c r="FJ84" s="671"/>
      <c r="FK84" s="671"/>
      <c r="FL84" s="671"/>
      <c r="FM84" s="671"/>
      <c r="FN84" s="671"/>
      <c r="FO84" s="671"/>
      <c r="FP84" s="671"/>
      <c r="FQ84" s="671"/>
      <c r="FR84" s="671"/>
      <c r="FS84" s="671"/>
      <c r="FT84" s="671"/>
      <c r="FU84" s="671"/>
      <c r="FV84" s="671"/>
      <c r="FW84" s="671"/>
      <c r="FX84" s="671"/>
      <c r="FY84" s="671"/>
      <c r="FZ84" s="671"/>
      <c r="GA84" s="671"/>
    </row>
    <row r="85" spans="1:183" s="446" customFormat="1" ht="10.199999999999999">
      <c r="A85" s="448" t="s">
        <v>223</v>
      </c>
      <c r="B85" s="449"/>
      <c r="C85" s="449"/>
      <c r="D85" s="449"/>
      <c r="E85" s="449"/>
      <c r="F85" s="449"/>
      <c r="G85" s="449"/>
      <c r="H85" s="449"/>
      <c r="I85" s="449"/>
      <c r="J85" s="449"/>
      <c r="K85" s="449"/>
      <c r="L85" s="449"/>
      <c r="M85" s="449"/>
      <c r="N85" s="449"/>
      <c r="O85" s="671"/>
      <c r="P85" s="671"/>
      <c r="Q85" s="671"/>
      <c r="R85" s="671"/>
      <c r="S85" s="671"/>
      <c r="T85" s="671"/>
      <c r="U85" s="671"/>
      <c r="V85" s="671"/>
      <c r="W85" s="671"/>
      <c r="X85" s="671"/>
      <c r="Y85" s="671"/>
      <c r="Z85" s="671"/>
      <c r="AA85" s="671"/>
      <c r="AB85" s="671"/>
      <c r="AC85" s="671"/>
      <c r="AD85" s="671"/>
      <c r="AE85" s="671"/>
      <c r="AF85" s="671"/>
      <c r="AG85" s="671"/>
      <c r="AH85" s="671"/>
      <c r="AI85" s="671"/>
      <c r="AJ85" s="671"/>
      <c r="AK85" s="671"/>
      <c r="AL85" s="671"/>
      <c r="AM85" s="671"/>
      <c r="AN85" s="671"/>
      <c r="AO85" s="671"/>
      <c r="AP85" s="671"/>
      <c r="AQ85" s="671"/>
      <c r="AR85" s="671"/>
      <c r="AS85" s="671"/>
      <c r="AT85" s="671"/>
      <c r="AU85" s="671"/>
      <c r="AV85" s="671"/>
      <c r="AW85" s="671"/>
      <c r="AX85" s="671"/>
      <c r="AY85" s="671"/>
      <c r="AZ85" s="671"/>
      <c r="BA85" s="671"/>
      <c r="BB85" s="671"/>
      <c r="BC85" s="671"/>
      <c r="BD85" s="671"/>
      <c r="BE85" s="671"/>
      <c r="BF85" s="671"/>
      <c r="BG85" s="671"/>
      <c r="BH85" s="671"/>
      <c r="BI85" s="671"/>
      <c r="BJ85" s="671"/>
      <c r="BK85" s="671"/>
      <c r="BL85" s="671"/>
      <c r="BM85" s="671"/>
      <c r="BN85" s="671"/>
      <c r="BO85" s="671"/>
      <c r="BP85" s="671"/>
      <c r="BQ85" s="671"/>
      <c r="BR85" s="671"/>
      <c r="BS85" s="671"/>
      <c r="BT85" s="671"/>
      <c r="BU85" s="671"/>
      <c r="BV85" s="671"/>
      <c r="BW85" s="671"/>
      <c r="BX85" s="671"/>
      <c r="BY85" s="671"/>
      <c r="BZ85" s="671"/>
      <c r="CA85" s="671"/>
      <c r="CB85" s="671"/>
      <c r="CC85" s="671"/>
      <c r="CD85" s="671"/>
      <c r="CE85" s="671"/>
      <c r="CF85" s="671"/>
      <c r="CG85" s="671"/>
      <c r="CH85" s="671"/>
      <c r="CI85" s="671"/>
      <c r="CJ85" s="671"/>
      <c r="CK85" s="671"/>
      <c r="CL85" s="671"/>
      <c r="CM85" s="671"/>
      <c r="CN85" s="671"/>
      <c r="CO85" s="671"/>
      <c r="CP85" s="671"/>
      <c r="CQ85" s="671"/>
      <c r="CR85" s="671"/>
      <c r="CS85" s="671"/>
      <c r="CT85" s="671"/>
      <c r="CU85" s="671"/>
      <c r="CV85" s="671"/>
      <c r="CW85" s="671"/>
      <c r="CX85" s="671"/>
      <c r="CY85" s="671"/>
      <c r="CZ85" s="671"/>
      <c r="DA85" s="671"/>
      <c r="DB85" s="671"/>
      <c r="DC85" s="671"/>
      <c r="DD85" s="671"/>
      <c r="DE85" s="671"/>
      <c r="DF85" s="671"/>
      <c r="DG85" s="671"/>
      <c r="DH85" s="671"/>
      <c r="DI85" s="671"/>
      <c r="DJ85" s="671"/>
      <c r="DK85" s="671"/>
      <c r="DL85" s="671"/>
      <c r="DM85" s="671"/>
      <c r="DN85" s="671"/>
      <c r="DO85" s="671"/>
      <c r="DP85" s="671"/>
      <c r="DQ85" s="671"/>
      <c r="DR85" s="671"/>
      <c r="DS85" s="671"/>
      <c r="DT85" s="671"/>
      <c r="DU85" s="671"/>
      <c r="DV85" s="671"/>
      <c r="DW85" s="671"/>
      <c r="DX85" s="671"/>
      <c r="DY85" s="671"/>
      <c r="DZ85" s="671"/>
      <c r="EA85" s="671"/>
      <c r="EB85" s="671"/>
      <c r="EC85" s="671"/>
      <c r="ED85" s="671"/>
      <c r="EE85" s="671"/>
      <c r="EF85" s="671"/>
      <c r="EG85" s="671"/>
      <c r="EH85" s="671"/>
      <c r="EI85" s="671"/>
      <c r="EJ85" s="671"/>
      <c r="EK85" s="671"/>
      <c r="EL85" s="671"/>
      <c r="EM85" s="671"/>
      <c r="EN85" s="671"/>
      <c r="EO85" s="671"/>
      <c r="EP85" s="671"/>
      <c r="EQ85" s="671"/>
      <c r="ER85" s="671"/>
      <c r="ES85" s="671"/>
      <c r="ET85" s="671"/>
      <c r="EU85" s="671"/>
      <c r="EV85" s="671"/>
      <c r="EW85" s="671"/>
      <c r="EX85" s="671"/>
      <c r="EY85" s="671"/>
      <c r="EZ85" s="671"/>
      <c r="FA85" s="671"/>
      <c r="FB85" s="671"/>
      <c r="FC85" s="671"/>
    </row>
    <row r="86" spans="1:183" s="44" customFormat="1" ht="10.199999999999999">
      <c r="A86" s="36" t="s">
        <v>581</v>
      </c>
      <c r="B86" s="125">
        <f>SUM(C86:H86)</f>
        <v>13762980</v>
      </c>
      <c r="C86" s="487">
        <v>8395172</v>
      </c>
      <c r="D86" s="487">
        <v>2802985</v>
      </c>
      <c r="E86" s="487">
        <v>805514</v>
      </c>
      <c r="F86" s="487">
        <v>215024</v>
      </c>
      <c r="G86" s="487">
        <v>412786</v>
      </c>
      <c r="H86" s="487">
        <v>1131499</v>
      </c>
      <c r="K86" s="355"/>
      <c r="O86" s="671"/>
      <c r="P86" s="671"/>
      <c r="Q86" s="671"/>
      <c r="R86" s="671"/>
      <c r="S86" s="671"/>
      <c r="T86" s="671"/>
      <c r="U86" s="671"/>
      <c r="V86" s="671"/>
      <c r="W86" s="671"/>
      <c r="X86" s="671"/>
      <c r="Y86" s="671"/>
      <c r="Z86" s="671"/>
      <c r="AA86" s="671"/>
      <c r="AB86" s="671"/>
      <c r="AC86" s="671"/>
      <c r="AD86" s="671"/>
      <c r="AE86" s="671"/>
      <c r="AF86" s="671"/>
      <c r="AG86" s="671"/>
      <c r="AH86" s="671"/>
      <c r="AI86" s="671"/>
      <c r="AJ86" s="671"/>
      <c r="AK86" s="671"/>
      <c r="AL86" s="671"/>
      <c r="AM86" s="671"/>
      <c r="AN86" s="671"/>
      <c r="AO86" s="671"/>
      <c r="AP86" s="671"/>
      <c r="AQ86" s="671"/>
      <c r="AR86" s="671"/>
      <c r="AS86" s="671"/>
      <c r="AT86" s="671"/>
      <c r="AU86" s="671"/>
      <c r="AV86" s="671"/>
      <c r="AW86" s="671"/>
      <c r="AX86" s="671"/>
      <c r="AY86" s="671"/>
      <c r="AZ86" s="671"/>
      <c r="BA86" s="671"/>
      <c r="BB86" s="671"/>
      <c r="BC86" s="671"/>
      <c r="BD86" s="671"/>
      <c r="BE86" s="671"/>
      <c r="BF86" s="671"/>
      <c r="BG86" s="671"/>
      <c r="BH86" s="671"/>
      <c r="BI86" s="671"/>
      <c r="BJ86" s="671"/>
      <c r="BK86" s="671"/>
      <c r="BL86" s="671"/>
      <c r="BM86" s="671"/>
      <c r="BN86" s="671"/>
      <c r="BO86" s="671"/>
      <c r="BP86" s="671"/>
      <c r="BQ86" s="671"/>
      <c r="BR86" s="671"/>
      <c r="BS86" s="671"/>
      <c r="BT86" s="671"/>
      <c r="BU86" s="671"/>
      <c r="BV86" s="671"/>
      <c r="BW86" s="671"/>
      <c r="BX86" s="671"/>
      <c r="BY86" s="671"/>
      <c r="BZ86" s="671"/>
      <c r="CA86" s="671"/>
      <c r="CB86" s="671"/>
      <c r="CC86" s="671"/>
      <c r="CD86" s="671"/>
      <c r="CE86" s="671"/>
      <c r="CF86" s="671"/>
      <c r="CG86" s="671"/>
      <c r="CH86" s="671"/>
      <c r="CI86" s="671"/>
      <c r="CJ86" s="671"/>
      <c r="CK86" s="671"/>
      <c r="CL86" s="671"/>
      <c r="CM86" s="671"/>
      <c r="CN86" s="671"/>
      <c r="CO86" s="671"/>
      <c r="CP86" s="671"/>
      <c r="CQ86" s="671"/>
      <c r="CR86" s="671"/>
      <c r="CS86" s="671"/>
      <c r="CT86" s="671"/>
      <c r="CU86" s="671"/>
      <c r="CV86" s="671"/>
      <c r="CW86" s="671"/>
      <c r="CX86" s="671"/>
      <c r="CY86" s="671"/>
      <c r="CZ86" s="671"/>
      <c r="DA86" s="671"/>
      <c r="DB86" s="671"/>
      <c r="DC86" s="671"/>
      <c r="DD86" s="671"/>
      <c r="DE86" s="671"/>
      <c r="DF86" s="671"/>
      <c r="DG86" s="671"/>
      <c r="DH86" s="671"/>
      <c r="DI86" s="671"/>
      <c r="DJ86" s="671"/>
      <c r="DK86" s="671"/>
      <c r="DL86" s="671"/>
      <c r="DM86" s="671"/>
      <c r="DN86" s="671"/>
      <c r="DO86" s="671"/>
      <c r="DP86" s="671"/>
      <c r="DQ86" s="671"/>
      <c r="DR86" s="671"/>
      <c r="DS86" s="671"/>
      <c r="DT86" s="671"/>
      <c r="DU86" s="671"/>
      <c r="DV86" s="671"/>
      <c r="DW86" s="671"/>
      <c r="DX86" s="671"/>
      <c r="DY86" s="671"/>
      <c r="DZ86" s="671"/>
      <c r="EA86" s="671"/>
      <c r="EB86" s="671"/>
      <c r="EC86" s="671"/>
      <c r="ED86" s="671"/>
      <c r="EE86" s="671"/>
      <c r="EF86" s="671"/>
      <c r="EG86" s="671"/>
      <c r="EH86" s="671"/>
      <c r="EI86" s="671"/>
      <c r="EJ86" s="671"/>
      <c r="EK86" s="671"/>
      <c r="EL86" s="671"/>
      <c r="EM86" s="671"/>
      <c r="EN86" s="671"/>
      <c r="EO86" s="671"/>
      <c r="EP86" s="671"/>
      <c r="EQ86" s="671"/>
      <c r="ER86" s="671"/>
      <c r="ES86" s="671"/>
      <c r="ET86" s="671"/>
      <c r="EU86" s="671"/>
      <c r="EV86" s="671"/>
      <c r="EW86" s="671"/>
      <c r="EX86" s="671"/>
      <c r="EY86" s="671"/>
      <c r="EZ86" s="671"/>
      <c r="FA86" s="671"/>
      <c r="FB86" s="671"/>
      <c r="FC86" s="671"/>
    </row>
    <row r="87" spans="1:183" s="44" customFormat="1" ht="10.199999999999999">
      <c r="A87" s="36" t="s">
        <v>582</v>
      </c>
      <c r="B87" s="125">
        <f>SUM(C87:H87)</f>
        <v>1670864</v>
      </c>
      <c r="C87" s="487">
        <v>213772</v>
      </c>
      <c r="D87" s="487">
        <v>104779</v>
      </c>
      <c r="E87" s="487">
        <v>38310</v>
      </c>
      <c r="F87" s="487">
        <v>43404</v>
      </c>
      <c r="G87" s="487">
        <v>213351</v>
      </c>
      <c r="H87" s="487">
        <v>1057248</v>
      </c>
      <c r="O87" s="671"/>
      <c r="P87" s="671"/>
      <c r="Q87" s="671"/>
      <c r="R87" s="671"/>
      <c r="S87" s="671"/>
      <c r="T87" s="671"/>
      <c r="U87" s="671"/>
      <c r="V87" s="671"/>
      <c r="W87" s="671"/>
      <c r="X87" s="671"/>
      <c r="Y87" s="671"/>
      <c r="Z87" s="671"/>
      <c r="AA87" s="671"/>
      <c r="AB87" s="671"/>
      <c r="AC87" s="671"/>
      <c r="AD87" s="671"/>
      <c r="AE87" s="671"/>
      <c r="AF87" s="671"/>
      <c r="AG87" s="671"/>
      <c r="AH87" s="671"/>
      <c r="AI87" s="671"/>
      <c r="AJ87" s="671"/>
      <c r="AK87" s="671"/>
      <c r="AL87" s="671"/>
      <c r="AM87" s="671"/>
      <c r="AN87" s="671"/>
      <c r="AO87" s="671"/>
      <c r="AP87" s="671"/>
      <c r="AQ87" s="671"/>
      <c r="AR87" s="671"/>
      <c r="AS87" s="671"/>
      <c r="AT87" s="671"/>
      <c r="AU87" s="671"/>
      <c r="AV87" s="671"/>
      <c r="AW87" s="671"/>
      <c r="AX87" s="671"/>
      <c r="AY87" s="671"/>
      <c r="AZ87" s="671"/>
      <c r="BA87" s="671"/>
      <c r="BB87" s="671"/>
      <c r="BC87" s="671"/>
      <c r="BD87" s="671"/>
      <c r="BE87" s="671"/>
      <c r="BF87" s="671"/>
      <c r="BG87" s="671"/>
      <c r="BH87" s="671"/>
      <c r="BI87" s="671"/>
      <c r="BJ87" s="671"/>
      <c r="BK87" s="671"/>
      <c r="BL87" s="671"/>
      <c r="BM87" s="671"/>
      <c r="BN87" s="671"/>
      <c r="BO87" s="671"/>
      <c r="BP87" s="671"/>
      <c r="BQ87" s="671"/>
      <c r="BR87" s="671"/>
      <c r="BS87" s="671"/>
      <c r="BT87" s="671"/>
      <c r="BU87" s="671"/>
      <c r="BV87" s="671"/>
      <c r="BW87" s="671"/>
      <c r="BX87" s="671"/>
      <c r="BY87" s="671"/>
      <c r="BZ87" s="671"/>
      <c r="CA87" s="671"/>
      <c r="CB87" s="671"/>
      <c r="CC87" s="671"/>
      <c r="CD87" s="671"/>
      <c r="CE87" s="671"/>
      <c r="CF87" s="671"/>
      <c r="CG87" s="671"/>
      <c r="CH87" s="671"/>
      <c r="CI87" s="671"/>
      <c r="CJ87" s="671"/>
      <c r="CK87" s="671"/>
      <c r="CL87" s="671"/>
      <c r="CM87" s="671"/>
      <c r="CN87" s="671"/>
      <c r="CO87" s="671"/>
      <c r="CP87" s="671"/>
      <c r="CQ87" s="671"/>
      <c r="CR87" s="671"/>
      <c r="CS87" s="671"/>
      <c r="CT87" s="671"/>
      <c r="CU87" s="671"/>
      <c r="CV87" s="671"/>
      <c r="CW87" s="671"/>
      <c r="CX87" s="671"/>
      <c r="CY87" s="671"/>
      <c r="CZ87" s="671"/>
      <c r="DA87" s="671"/>
      <c r="DB87" s="671"/>
      <c r="DC87" s="671"/>
      <c r="DD87" s="671"/>
      <c r="DE87" s="671"/>
      <c r="DF87" s="671"/>
      <c r="DG87" s="671"/>
      <c r="DH87" s="671"/>
      <c r="DI87" s="671"/>
      <c r="DJ87" s="671"/>
      <c r="DK87" s="671"/>
      <c r="DL87" s="671"/>
      <c r="DM87" s="671"/>
      <c r="DN87" s="671"/>
      <c r="DO87" s="671"/>
      <c r="DP87" s="671"/>
      <c r="DQ87" s="671"/>
      <c r="DR87" s="671"/>
      <c r="DS87" s="671"/>
      <c r="DT87" s="671"/>
      <c r="DU87" s="671"/>
      <c r="DV87" s="671"/>
      <c r="DW87" s="671"/>
      <c r="DX87" s="671"/>
      <c r="DY87" s="671"/>
      <c r="DZ87" s="671"/>
      <c r="EA87" s="671"/>
      <c r="EB87" s="671"/>
      <c r="EC87" s="671"/>
      <c r="ED87" s="671"/>
      <c r="EE87" s="671"/>
      <c r="EF87" s="671"/>
      <c r="EG87" s="671"/>
      <c r="EH87" s="671"/>
      <c r="EI87" s="671"/>
      <c r="EJ87" s="671"/>
      <c r="EK87" s="671"/>
      <c r="EL87" s="671"/>
      <c r="EM87" s="671"/>
      <c r="EN87" s="671"/>
      <c r="EO87" s="671"/>
      <c r="EP87" s="671"/>
      <c r="EQ87" s="671"/>
      <c r="ER87" s="671"/>
      <c r="ES87" s="671"/>
      <c r="ET87" s="671"/>
      <c r="EU87" s="671"/>
      <c r="EV87" s="671"/>
      <c r="EW87" s="671"/>
      <c r="EX87" s="671"/>
      <c r="EY87" s="671"/>
      <c r="EZ87" s="671"/>
      <c r="FA87" s="671"/>
      <c r="FB87" s="671"/>
      <c r="FC87" s="671"/>
    </row>
    <row r="88" spans="1:183" s="44" customFormat="1" ht="10.199999999999999">
      <c r="A88" s="60" t="s">
        <v>583</v>
      </c>
      <c r="B88" s="125">
        <f>B86-B87</f>
        <v>12092116</v>
      </c>
      <c r="C88" s="487">
        <f>C86-C87</f>
        <v>8181400</v>
      </c>
      <c r="D88" s="487">
        <f t="shared" ref="D88:H88" si="2">D86-D87</f>
        <v>2698206</v>
      </c>
      <c r="E88" s="487">
        <f t="shared" si="2"/>
        <v>767204</v>
      </c>
      <c r="F88" s="487">
        <f t="shared" si="2"/>
        <v>171620</v>
      </c>
      <c r="G88" s="487">
        <f t="shared" si="2"/>
        <v>199435</v>
      </c>
      <c r="H88" s="487">
        <f t="shared" si="2"/>
        <v>74251</v>
      </c>
      <c r="O88" s="671"/>
      <c r="P88" s="671"/>
      <c r="Q88" s="671"/>
      <c r="R88" s="671"/>
      <c r="S88" s="671"/>
      <c r="T88" s="671"/>
      <c r="U88" s="671"/>
      <c r="V88" s="671"/>
      <c r="W88" s="671"/>
      <c r="X88" s="671"/>
      <c r="Y88" s="671"/>
      <c r="Z88" s="671"/>
      <c r="AA88" s="671"/>
      <c r="AB88" s="671"/>
      <c r="AC88" s="671"/>
      <c r="AD88" s="671"/>
      <c r="AE88" s="671"/>
      <c r="AF88" s="671"/>
      <c r="AG88" s="671"/>
      <c r="AH88" s="671"/>
      <c r="AI88" s="671"/>
      <c r="AJ88" s="671"/>
      <c r="AK88" s="671"/>
      <c r="AL88" s="671"/>
      <c r="AM88" s="671"/>
      <c r="AN88" s="671"/>
      <c r="AO88" s="671"/>
      <c r="AP88" s="671"/>
      <c r="AQ88" s="671"/>
      <c r="AR88" s="671"/>
      <c r="AS88" s="671"/>
      <c r="AT88" s="671"/>
      <c r="AU88" s="671"/>
      <c r="AV88" s="671"/>
      <c r="AW88" s="671"/>
      <c r="AX88" s="671"/>
      <c r="AY88" s="671"/>
      <c r="AZ88" s="671"/>
      <c r="BA88" s="671"/>
      <c r="BB88" s="671"/>
      <c r="BC88" s="671"/>
      <c r="BD88" s="671"/>
      <c r="BE88" s="671"/>
      <c r="BF88" s="671"/>
      <c r="BG88" s="671"/>
      <c r="BH88" s="671"/>
      <c r="BI88" s="671"/>
      <c r="BJ88" s="671"/>
      <c r="BK88" s="671"/>
      <c r="BL88" s="671"/>
      <c r="BM88" s="671"/>
      <c r="BN88" s="671"/>
      <c r="BO88" s="671"/>
      <c r="BP88" s="671"/>
      <c r="BQ88" s="671"/>
      <c r="BR88" s="671"/>
      <c r="BS88" s="671"/>
      <c r="BT88" s="671"/>
      <c r="BU88" s="671"/>
      <c r="BV88" s="671"/>
      <c r="BW88" s="671"/>
      <c r="BX88" s="671"/>
      <c r="BY88" s="671"/>
      <c r="BZ88" s="671"/>
      <c r="CA88" s="671"/>
      <c r="CB88" s="671"/>
      <c r="CC88" s="671"/>
      <c r="CD88" s="671"/>
      <c r="CE88" s="671"/>
      <c r="CF88" s="671"/>
      <c r="CG88" s="671"/>
      <c r="CH88" s="671"/>
      <c r="CI88" s="671"/>
      <c r="CJ88" s="671"/>
      <c r="CK88" s="671"/>
      <c r="CL88" s="671"/>
      <c r="CM88" s="671"/>
      <c r="CN88" s="671"/>
      <c r="CO88" s="671"/>
      <c r="CP88" s="671"/>
      <c r="CQ88" s="671"/>
      <c r="CR88" s="671"/>
      <c r="CS88" s="671"/>
      <c r="CT88" s="671"/>
      <c r="CU88" s="671"/>
      <c r="CV88" s="671"/>
      <c r="CW88" s="671"/>
      <c r="CX88" s="671"/>
      <c r="CY88" s="671"/>
      <c r="CZ88" s="671"/>
      <c r="DA88" s="671"/>
      <c r="DB88" s="671"/>
      <c r="DC88" s="671"/>
      <c r="DD88" s="671"/>
      <c r="DE88" s="671"/>
      <c r="DF88" s="671"/>
      <c r="DG88" s="671"/>
      <c r="DH88" s="671"/>
      <c r="DI88" s="671"/>
      <c r="DJ88" s="671"/>
      <c r="DK88" s="671"/>
      <c r="DL88" s="671"/>
      <c r="DM88" s="671"/>
      <c r="DN88" s="671"/>
      <c r="DO88" s="671"/>
      <c r="DP88" s="671"/>
      <c r="DQ88" s="671"/>
      <c r="DR88" s="671"/>
      <c r="DS88" s="671"/>
      <c r="DT88" s="671"/>
      <c r="DU88" s="671"/>
      <c r="DV88" s="671"/>
      <c r="DW88" s="671"/>
      <c r="DX88" s="671"/>
      <c r="DY88" s="671"/>
      <c r="DZ88" s="671"/>
      <c r="EA88" s="671"/>
      <c r="EB88" s="671"/>
      <c r="EC88" s="671"/>
      <c r="ED88" s="671"/>
      <c r="EE88" s="671"/>
      <c r="EF88" s="671"/>
      <c r="EG88" s="671"/>
      <c r="EH88" s="671"/>
      <c r="EI88" s="671"/>
      <c r="EJ88" s="671"/>
      <c r="EK88" s="671"/>
      <c r="EL88" s="671"/>
      <c r="EM88" s="671"/>
      <c r="EN88" s="671"/>
      <c r="EO88" s="671"/>
      <c r="EP88" s="671"/>
      <c r="EQ88" s="671"/>
      <c r="ER88" s="671"/>
      <c r="ES88" s="671"/>
      <c r="ET88" s="671"/>
      <c r="EU88" s="671"/>
      <c r="EV88" s="671"/>
      <c r="EW88" s="671"/>
      <c r="EX88" s="671"/>
      <c r="EY88" s="671"/>
      <c r="EZ88" s="671"/>
      <c r="FA88" s="671"/>
      <c r="FB88" s="671"/>
      <c r="FC88" s="671"/>
    </row>
    <row r="89" spans="1:183" s="44" customFormat="1" ht="10.199999999999999">
      <c r="A89" s="446" t="s">
        <v>352</v>
      </c>
      <c r="B89" s="447"/>
      <c r="C89" s="447"/>
      <c r="D89" s="447"/>
      <c r="E89" s="447"/>
      <c r="F89" s="447"/>
      <c r="G89" s="447"/>
      <c r="H89" s="447"/>
    </row>
    <row r="90" spans="1:183" s="44" customFormat="1" ht="10.199999999999999">
      <c r="A90" s="36" t="s">
        <v>581</v>
      </c>
      <c r="B90" s="125">
        <f t="shared" ref="B90:H92" si="3">B82+B86</f>
        <v>13762980</v>
      </c>
      <c r="C90" s="487">
        <f t="shared" si="3"/>
        <v>8395172</v>
      </c>
      <c r="D90" s="487">
        <f t="shared" si="3"/>
        <v>2802985</v>
      </c>
      <c r="E90" s="487">
        <f t="shared" si="3"/>
        <v>805514</v>
      </c>
      <c r="F90" s="487">
        <f t="shared" si="3"/>
        <v>215024</v>
      </c>
      <c r="G90" s="487">
        <f t="shared" si="3"/>
        <v>412786</v>
      </c>
      <c r="H90" s="487">
        <f t="shared" si="3"/>
        <v>1131499</v>
      </c>
      <c r="K90" s="355"/>
    </row>
    <row r="91" spans="1:183" s="44" customFormat="1" ht="10.199999999999999">
      <c r="A91" s="36" t="s">
        <v>582</v>
      </c>
      <c r="B91" s="125">
        <f t="shared" si="3"/>
        <v>1670864</v>
      </c>
      <c r="C91" s="487">
        <f t="shared" si="3"/>
        <v>213772</v>
      </c>
      <c r="D91" s="487">
        <f t="shared" si="3"/>
        <v>104779</v>
      </c>
      <c r="E91" s="487">
        <f t="shared" si="3"/>
        <v>38310</v>
      </c>
      <c r="F91" s="487">
        <f t="shared" si="3"/>
        <v>43404</v>
      </c>
      <c r="G91" s="487">
        <f>G83+G87</f>
        <v>213351</v>
      </c>
      <c r="H91" s="487">
        <f t="shared" si="3"/>
        <v>1057248</v>
      </c>
    </row>
    <row r="92" spans="1:183" s="44" customFormat="1" ht="10.199999999999999">
      <c r="A92" s="60" t="s">
        <v>583</v>
      </c>
      <c r="B92" s="125">
        <f t="shared" si="3"/>
        <v>12092116</v>
      </c>
      <c r="C92" s="487">
        <f t="shared" si="3"/>
        <v>8181400</v>
      </c>
      <c r="D92" s="487">
        <f t="shared" si="3"/>
        <v>2698206</v>
      </c>
      <c r="E92" s="487">
        <f t="shared" si="3"/>
        <v>767204</v>
      </c>
      <c r="F92" s="487">
        <f t="shared" si="3"/>
        <v>171620</v>
      </c>
      <c r="G92" s="487">
        <f t="shared" si="3"/>
        <v>199435</v>
      </c>
      <c r="H92" s="487">
        <f t="shared" si="3"/>
        <v>74251</v>
      </c>
    </row>
    <row r="93" spans="1:183" s="44" customFormat="1" ht="10.199999999999999">
      <c r="B93" s="301">
        <f>B92-C5</f>
        <v>0</v>
      </c>
    </row>
    <row r="94" spans="1:183" s="44" customFormat="1" ht="10.199999999999999">
      <c r="A94" s="121"/>
    </row>
    <row r="95" spans="1:183" s="44" customFormat="1" ht="10.35" customHeight="1">
      <c r="A95" s="121"/>
    </row>
    <row r="96" spans="1:183" s="44" customFormat="1" ht="10.199999999999999" hidden="1">
      <c r="A96" s="51" t="s">
        <v>478</v>
      </c>
      <c r="B96" s="355"/>
    </row>
    <row r="97" spans="1:10" s="44" customFormat="1" ht="10.199999999999999" hidden="1"/>
    <row r="98" spans="1:10" s="44" customFormat="1" ht="10.199999999999999" hidden="1">
      <c r="A98" s="99" t="s">
        <v>294</v>
      </c>
      <c r="B98" s="416">
        <f>B4</f>
        <v>44926</v>
      </c>
      <c r="C98" s="416">
        <f>C4</f>
        <v>44561</v>
      </c>
      <c r="D98" s="439"/>
      <c r="E98" s="439"/>
      <c r="F98" s="439"/>
      <c r="G98" s="439"/>
    </row>
    <row r="99" spans="1:10" s="133" customFormat="1" ht="20.399999999999999" hidden="1">
      <c r="A99" s="102" t="s">
        <v>480</v>
      </c>
      <c r="B99" s="128"/>
      <c r="C99" s="128">
        <v>421</v>
      </c>
      <c r="D99" s="351"/>
      <c r="E99" s="351"/>
      <c r="F99" s="351"/>
      <c r="G99" s="351"/>
      <c r="H99" s="44"/>
    </row>
    <row r="100" spans="1:10" s="133" customFormat="1" ht="10.199999999999999" hidden="1">
      <c r="A100" s="102" t="s">
        <v>345</v>
      </c>
      <c r="B100" s="450"/>
      <c r="C100" s="450">
        <v>314</v>
      </c>
      <c r="D100" s="451"/>
      <c r="E100" s="451"/>
      <c r="F100" s="451"/>
      <c r="G100" s="451"/>
      <c r="H100" s="44"/>
    </row>
    <row r="101" spans="1:10" s="133" customFormat="1" ht="20.399999999999999" hidden="1">
      <c r="A101" s="403" t="s">
        <v>481</v>
      </c>
      <c r="B101" s="128">
        <f>B99-B100</f>
        <v>0</v>
      </c>
      <c r="C101" s="128">
        <f>C99-C100</f>
        <v>107</v>
      </c>
      <c r="D101" s="351"/>
      <c r="E101" s="351"/>
      <c r="F101" s="351"/>
      <c r="G101" s="351"/>
      <c r="H101" s="44"/>
    </row>
    <row r="102" spans="1:10">
      <c r="H102" s="44"/>
      <c r="I102" s="44"/>
    </row>
    <row r="103" spans="1:10">
      <c r="A103" s="381" t="s">
        <v>915</v>
      </c>
      <c r="B103" s="381"/>
      <c r="C103" s="381"/>
      <c r="D103" s="381"/>
      <c r="E103" s="381"/>
      <c r="F103" s="381"/>
      <c r="G103" s="381"/>
      <c r="H103" s="381"/>
      <c r="I103" s="381"/>
      <c r="J103" s="381"/>
    </row>
    <row r="104" spans="1:10">
      <c r="H104" s="44"/>
      <c r="I104" s="44"/>
    </row>
    <row r="105" spans="1:10">
      <c r="A105" s="112" t="s">
        <v>294</v>
      </c>
      <c r="B105" s="416">
        <f>B4</f>
        <v>44926</v>
      </c>
      <c r="C105" s="416">
        <f>C4</f>
        <v>44561</v>
      </c>
      <c r="D105" s="439"/>
      <c r="E105" s="439"/>
      <c r="F105" s="439"/>
      <c r="G105" s="439"/>
      <c r="H105" s="44"/>
    </row>
    <row r="106" spans="1:10">
      <c r="A106" s="55" t="s">
        <v>183</v>
      </c>
      <c r="B106" s="88">
        <f>SUM(B107:B115)</f>
        <v>1030358</v>
      </c>
      <c r="C106" s="88">
        <f>SUM(C107:C115)</f>
        <v>803412</v>
      </c>
      <c r="D106" s="460"/>
      <c r="E106" s="460"/>
      <c r="F106" s="460"/>
      <c r="G106" s="460"/>
      <c r="H106" s="44"/>
    </row>
    <row r="107" spans="1:10" ht="20.399999999999999">
      <c r="A107" s="222" t="s">
        <v>165</v>
      </c>
      <c r="B107" s="200">
        <v>647866</v>
      </c>
      <c r="C107" s="200">
        <v>602662</v>
      </c>
      <c r="D107" s="355"/>
      <c r="E107" s="355"/>
      <c r="F107" s="355"/>
      <c r="G107" s="355"/>
      <c r="H107" s="44"/>
    </row>
    <row r="108" spans="1:10">
      <c r="A108" s="222" t="s">
        <v>894</v>
      </c>
      <c r="B108" s="200">
        <v>117984</v>
      </c>
      <c r="C108" s="200">
        <v>97290</v>
      </c>
      <c r="D108" s="355"/>
      <c r="E108" s="355"/>
      <c r="F108" s="355"/>
      <c r="G108" s="355"/>
      <c r="H108" s="44"/>
    </row>
    <row r="109" spans="1:10">
      <c r="A109" s="222" t="s">
        <v>895</v>
      </c>
      <c r="B109" s="200">
        <v>117110</v>
      </c>
      <c r="C109" s="200">
        <v>33000</v>
      </c>
      <c r="D109" s="355"/>
      <c r="E109" s="355"/>
      <c r="F109" s="355"/>
      <c r="G109" s="355"/>
      <c r="H109" s="44"/>
    </row>
    <row r="110" spans="1:10">
      <c r="A110" s="222" t="s">
        <v>896</v>
      </c>
      <c r="B110" s="200">
        <v>15412</v>
      </c>
      <c r="C110" s="200">
        <v>23133</v>
      </c>
      <c r="D110" s="355"/>
      <c r="E110" s="355"/>
      <c r="F110" s="355"/>
      <c r="G110" s="355"/>
      <c r="H110" s="44"/>
    </row>
    <row r="111" spans="1:10">
      <c r="A111" s="363" t="s">
        <v>897</v>
      </c>
      <c r="B111" s="200">
        <v>14319</v>
      </c>
      <c r="C111" s="200">
        <v>13706</v>
      </c>
      <c r="D111" s="355"/>
      <c r="E111" s="355"/>
      <c r="F111" s="355"/>
      <c r="G111" s="355"/>
      <c r="H111" s="44"/>
    </row>
    <row r="112" spans="1:10" ht="20.399999999999999">
      <c r="A112" s="354" t="s">
        <v>899</v>
      </c>
      <c r="B112" s="200">
        <v>91585</v>
      </c>
      <c r="C112" s="200">
        <v>6451</v>
      </c>
      <c r="D112" s="355"/>
      <c r="E112" s="355"/>
      <c r="F112" s="355"/>
      <c r="G112" s="355"/>
      <c r="H112" s="44"/>
    </row>
    <row r="113" spans="1:9">
      <c r="A113" s="354" t="s">
        <v>900</v>
      </c>
      <c r="B113" s="200">
        <v>0</v>
      </c>
      <c r="C113" s="200">
        <v>200</v>
      </c>
      <c r="D113" s="355"/>
      <c r="E113" s="355"/>
      <c r="F113" s="355"/>
      <c r="G113" s="355"/>
      <c r="H113" s="44"/>
    </row>
    <row r="114" spans="1:9" hidden="1">
      <c r="A114" s="354" t="s">
        <v>1034</v>
      </c>
      <c r="B114" s="200">
        <v>0</v>
      </c>
      <c r="C114" s="200">
        <v>0</v>
      </c>
      <c r="D114" s="355"/>
      <c r="E114" s="355"/>
      <c r="F114" s="355"/>
      <c r="G114" s="355"/>
      <c r="H114" s="44"/>
    </row>
    <row r="115" spans="1:9">
      <c r="A115" s="222" t="s">
        <v>898</v>
      </c>
      <c r="B115" s="200">
        <v>26082</v>
      </c>
      <c r="C115" s="200">
        <v>26970</v>
      </c>
      <c r="D115" s="355"/>
      <c r="E115" s="355"/>
      <c r="F115" s="355"/>
      <c r="G115" s="355"/>
      <c r="H115" s="44"/>
    </row>
    <row r="116" spans="1:9" hidden="1">
      <c r="A116" s="54" t="s">
        <v>176</v>
      </c>
      <c r="B116" s="200">
        <v>0</v>
      </c>
      <c r="C116" s="200"/>
      <c r="D116" s="355"/>
      <c r="E116" s="355"/>
      <c r="F116" s="355"/>
      <c r="G116" s="355"/>
      <c r="H116" s="44"/>
    </row>
    <row r="117" spans="1:9">
      <c r="A117" s="55" t="s">
        <v>94</v>
      </c>
      <c r="B117" s="88">
        <f>B116+B106</f>
        <v>1030358</v>
      </c>
      <c r="C117" s="88">
        <f>C116+C106</f>
        <v>803412</v>
      </c>
      <c r="D117" s="460"/>
      <c r="E117" s="460"/>
      <c r="F117" s="460"/>
      <c r="G117" s="460"/>
      <c r="H117" s="44"/>
    </row>
    <row r="118" spans="1:9">
      <c r="B118" s="301">
        <f>B106-Aktywa!D19</f>
        <v>0</v>
      </c>
      <c r="C118" s="301">
        <f>C106-Aktywa!E19</f>
        <v>0</v>
      </c>
      <c r="D118" s="301"/>
    </row>
    <row r="119" spans="1:9">
      <c r="B119" s="355"/>
      <c r="C119" s="355"/>
      <c r="D119" s="355"/>
      <c r="E119" s="355"/>
      <c r="F119" s="355"/>
      <c r="G119" s="355"/>
      <c r="H119" s="44"/>
      <c r="I119" s="44"/>
    </row>
    <row r="120" spans="1:9">
      <c r="A120" s="112" t="s">
        <v>294</v>
      </c>
      <c r="B120" s="416">
        <f>B4</f>
        <v>44926</v>
      </c>
      <c r="C120" s="416">
        <f>C4</f>
        <v>44561</v>
      </c>
      <c r="D120" s="439"/>
      <c r="E120" s="439"/>
      <c r="F120" s="439"/>
      <c r="G120" s="439"/>
      <c r="H120" s="44"/>
    </row>
    <row r="121" spans="1:9">
      <c r="A121" s="364" t="s">
        <v>183</v>
      </c>
      <c r="B121" s="88">
        <f>B117</f>
        <v>1030358</v>
      </c>
      <c r="C121" s="88">
        <f>C117</f>
        <v>803412</v>
      </c>
      <c r="D121" s="460"/>
      <c r="E121" s="460"/>
      <c r="F121" s="460"/>
      <c r="G121" s="460"/>
      <c r="H121" s="44"/>
    </row>
    <row r="122" spans="1:9" hidden="1">
      <c r="A122" s="365" t="s">
        <v>226</v>
      </c>
      <c r="B122" s="200">
        <v>0</v>
      </c>
      <c r="C122" s="200">
        <v>0</v>
      </c>
      <c r="D122" s="355"/>
      <c r="E122" s="355"/>
      <c r="F122" s="355"/>
      <c r="G122" s="355"/>
      <c r="H122" s="44"/>
    </row>
    <row r="123" spans="1:9">
      <c r="A123" s="365" t="s">
        <v>227</v>
      </c>
      <c r="B123" s="200">
        <f>B121</f>
        <v>1030358</v>
      </c>
      <c r="C123" s="200">
        <v>803412</v>
      </c>
      <c r="D123" s="355"/>
      <c r="E123" s="355"/>
      <c r="F123" s="355"/>
      <c r="G123" s="355"/>
      <c r="H123" s="44"/>
    </row>
    <row r="124" spans="1:9" hidden="1">
      <c r="A124" s="366" t="s">
        <v>176</v>
      </c>
      <c r="B124" s="200">
        <v>0</v>
      </c>
      <c r="C124" s="200">
        <v>0</v>
      </c>
      <c r="D124" s="355"/>
      <c r="E124" s="355"/>
      <c r="F124" s="355"/>
      <c r="G124" s="355"/>
      <c r="H124" s="44"/>
    </row>
    <row r="125" spans="1:9">
      <c r="A125" s="364" t="s">
        <v>94</v>
      </c>
      <c r="B125" s="88">
        <f>B124+B121</f>
        <v>1030358</v>
      </c>
      <c r="C125" s="88">
        <f>C124+C121</f>
        <v>803412</v>
      </c>
      <c r="D125" s="460"/>
      <c r="E125" s="460"/>
      <c r="F125" s="460"/>
      <c r="G125" s="460"/>
      <c r="H125" s="44"/>
    </row>
    <row r="126" spans="1:9">
      <c r="B126" s="301"/>
      <c r="C126" s="301"/>
      <c r="D126" s="301"/>
      <c r="E126" s="301"/>
      <c r="F126" s="301"/>
      <c r="G126" s="301"/>
    </row>
    <row r="127" spans="1:9">
      <c r="A127" s="51" t="s">
        <v>479</v>
      </c>
    </row>
    <row r="128" spans="1:9">
      <c r="H128" s="44"/>
      <c r="I128" s="44"/>
    </row>
    <row r="129" spans="1:9" s="406" customFormat="1">
      <c r="A129" s="124" t="s">
        <v>294</v>
      </c>
      <c r="B129" s="416">
        <f>B4</f>
        <v>44926</v>
      </c>
      <c r="C129" s="416">
        <f>C4</f>
        <v>44561</v>
      </c>
      <c r="D129" s="439"/>
      <c r="E129" s="439"/>
      <c r="F129" s="439"/>
      <c r="G129" s="439"/>
      <c r="H129" s="44"/>
    </row>
    <row r="130" spans="1:9" ht="21">
      <c r="A130" s="46" t="s">
        <v>504</v>
      </c>
      <c r="B130" s="127"/>
      <c r="C130" s="127"/>
      <c r="D130" s="146"/>
      <c r="E130" s="146"/>
      <c r="F130" s="146"/>
      <c r="G130" s="146"/>
      <c r="H130" s="44"/>
    </row>
    <row r="131" spans="1:9">
      <c r="A131" s="46" t="s">
        <v>345</v>
      </c>
      <c r="B131" s="157"/>
      <c r="C131" s="157"/>
      <c r="D131" s="401"/>
      <c r="E131" s="401"/>
      <c r="F131" s="401"/>
      <c r="G131" s="401"/>
      <c r="H131" s="44"/>
    </row>
    <row r="132" spans="1:9" ht="21">
      <c r="A132" s="50" t="s">
        <v>505</v>
      </c>
      <c r="B132" s="128">
        <f>B130-B131</f>
        <v>0</v>
      </c>
      <c r="C132" s="128">
        <f>C130-C131</f>
        <v>0</v>
      </c>
      <c r="D132" s="351"/>
      <c r="E132" s="351"/>
      <c r="F132" s="351"/>
      <c r="G132" s="351"/>
      <c r="H132" s="44"/>
    </row>
    <row r="133" spans="1:9">
      <c r="A133" s="72"/>
      <c r="B133" s="351"/>
      <c r="C133" s="351"/>
      <c r="D133" s="351"/>
      <c r="E133" s="351"/>
      <c r="F133" s="351"/>
      <c r="G133" s="351"/>
      <c r="H133" s="44"/>
      <c r="I133" s="44"/>
    </row>
  </sheetData>
  <mergeCells count="20">
    <mergeCell ref="B3:H3"/>
    <mergeCell ref="A12:K12"/>
    <mergeCell ref="B13:H13"/>
    <mergeCell ref="F62:F63"/>
    <mergeCell ref="G62:G63"/>
    <mergeCell ref="H62:H63"/>
    <mergeCell ref="A55:C55"/>
    <mergeCell ref="F79:F80"/>
    <mergeCell ref="G79:G80"/>
    <mergeCell ref="H79:H80"/>
    <mergeCell ref="A62:A63"/>
    <mergeCell ref="B62:B63"/>
    <mergeCell ref="C62:C63"/>
    <mergeCell ref="D62:D63"/>
    <mergeCell ref="E62:E63"/>
    <mergeCell ref="A79:A80"/>
    <mergeCell ref="B79:B80"/>
    <mergeCell ref="C79:C80"/>
    <mergeCell ref="D79:D80"/>
    <mergeCell ref="E79:E80"/>
  </mergeCells>
  <phoneticPr fontId="37" type="noConversion"/>
  <pageMargins left="0.75" right="0.75" top="1" bottom="1" header="0.5" footer="0.5"/>
  <pageSetup paperSize="9" orientation="landscape" r:id="rId1"/>
  <headerFooter alignWithMargins="0"/>
  <rowBreaks count="1" manualBreakCount="1">
    <brk id="66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J13"/>
  <sheetViews>
    <sheetView showGridLines="0" zoomScaleNormal="100" zoomScaleSheetLayoutView="100" workbookViewId="0">
      <selection activeCell="A10" sqref="A10:XFD10"/>
    </sheetView>
  </sheetViews>
  <sheetFormatPr defaultColWidth="9.33203125" defaultRowHeight="13.2"/>
  <cols>
    <col min="1" max="1" width="54.6640625" customWidth="1"/>
    <col min="2" max="3" width="14.33203125" customWidth="1"/>
    <col min="4" max="4" width="13.33203125" customWidth="1"/>
  </cols>
  <sheetData>
    <row r="1" spans="1:10">
      <c r="A1" s="38"/>
    </row>
    <row r="2" spans="1:10" s="44" customFormat="1">
      <c r="A2" s="381" t="s">
        <v>841</v>
      </c>
      <c r="B2" s="205" t="s">
        <v>889</v>
      </c>
      <c r="C2" s="205"/>
      <c r="D2" s="205"/>
      <c r="E2" s="205"/>
      <c r="F2" s="381"/>
    </row>
    <row r="3" spans="1:10" s="44" customFormat="1" ht="10.199999999999999">
      <c r="B3" s="699"/>
      <c r="C3" s="699"/>
    </row>
    <row r="4" spans="1:10" s="44" customFormat="1" ht="10.199999999999999">
      <c r="A4" s="112" t="s">
        <v>294</v>
      </c>
      <c r="B4" s="416">
        <f>Aktywa!D2</f>
        <v>44926</v>
      </c>
      <c r="C4" s="416">
        <v>44561</v>
      </c>
    </row>
    <row r="5" spans="1:10" s="44" customFormat="1" ht="10.199999999999999">
      <c r="A5" s="46" t="s">
        <v>563</v>
      </c>
      <c r="B5" s="620">
        <v>14319</v>
      </c>
      <c r="C5" s="200">
        <v>13706</v>
      </c>
    </row>
    <row r="6" spans="1:10" s="44" customFormat="1" ht="10.199999999999999">
      <c r="A6" s="46" t="s">
        <v>619</v>
      </c>
      <c r="B6" s="620">
        <v>117984</v>
      </c>
      <c r="C6" s="200">
        <v>97290</v>
      </c>
    </row>
    <row r="7" spans="1:10" s="44" customFormat="1" ht="10.199999999999999">
      <c r="A7" s="46" t="s">
        <v>620</v>
      </c>
      <c r="B7" s="620">
        <v>91585</v>
      </c>
      <c r="C7" s="200">
        <v>6451</v>
      </c>
    </row>
    <row r="8" spans="1:10" s="44" customFormat="1" ht="10.199999999999999">
      <c r="A8" s="46" t="s">
        <v>564</v>
      </c>
      <c r="B8" s="620">
        <v>0</v>
      </c>
      <c r="C8" s="200">
        <v>200</v>
      </c>
    </row>
    <row r="9" spans="1:10" s="44" customFormat="1" ht="10.199999999999999">
      <c r="A9" s="46" t="s">
        <v>679</v>
      </c>
      <c r="B9" s="620">
        <v>117110</v>
      </c>
      <c r="C9" s="200">
        <v>33000</v>
      </c>
    </row>
    <row r="10" spans="1:10" s="44" customFormat="1" ht="10.199999999999999" hidden="1">
      <c r="A10" s="46" t="s">
        <v>1033</v>
      </c>
      <c r="B10" s="620">
        <v>0</v>
      </c>
      <c r="C10" s="200">
        <v>0</v>
      </c>
    </row>
    <row r="11" spans="1:10">
      <c r="A11" s="46" t="s">
        <v>184</v>
      </c>
      <c r="B11" s="620">
        <f>11640+3772</f>
        <v>15412</v>
      </c>
      <c r="C11" s="200">
        <v>23133</v>
      </c>
    </row>
    <row r="12" spans="1:10" s="44" customFormat="1">
      <c r="A12" s="488" t="s">
        <v>167</v>
      </c>
      <c r="B12" s="88">
        <f>SUM(B5:B11)</f>
        <v>356410</v>
      </c>
      <c r="C12" s="88">
        <f>SUM(C5:C11)</f>
        <v>173780</v>
      </c>
      <c r="E12"/>
      <c r="F12"/>
      <c r="G12"/>
      <c r="H12"/>
      <c r="I12"/>
      <c r="J12"/>
    </row>
    <row r="13" spans="1:10">
      <c r="B13" s="301">
        <f>B12-Aktywa!D22</f>
        <v>356410</v>
      </c>
      <c r="C13" s="301">
        <f>C12-Aktywa!E22</f>
        <v>173780</v>
      </c>
    </row>
  </sheetData>
  <mergeCells count="1">
    <mergeCell ref="B3:C3"/>
  </mergeCells>
  <phoneticPr fontId="39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F13"/>
  <sheetViews>
    <sheetView showGridLines="0" zoomScaleNormal="100" zoomScaleSheetLayoutView="100" workbookViewId="0">
      <selection activeCell="A4" sqref="A4:C11"/>
    </sheetView>
  </sheetViews>
  <sheetFormatPr defaultColWidth="9.33203125" defaultRowHeight="13.2"/>
  <cols>
    <col min="1" max="1" width="56.33203125" style="44" customWidth="1"/>
    <col min="2" max="2" width="15.5546875" style="44" customWidth="1"/>
    <col min="3" max="3" width="14.44140625" style="44" customWidth="1"/>
    <col min="4" max="4" width="13.33203125" style="44" customWidth="1"/>
    <col min="5" max="6" width="9.33203125" style="44"/>
  </cols>
  <sheetData>
    <row r="1" spans="1:6">
      <c r="A1" s="38"/>
      <c r="B1"/>
      <c r="C1"/>
      <c r="D1"/>
      <c r="E1"/>
      <c r="F1"/>
    </row>
    <row r="2" spans="1:6" s="44" customFormat="1">
      <c r="A2" s="381" t="s">
        <v>916</v>
      </c>
      <c r="B2" s="381"/>
      <c r="C2" s="381"/>
      <c r="D2" s="381"/>
      <c r="E2" s="381"/>
      <c r="F2" s="381"/>
    </row>
    <row r="3" spans="1:6">
      <c r="A3" s="51"/>
      <c r="B3" s="51"/>
      <c r="C3" s="51"/>
      <c r="D3" s="355"/>
      <c r="F3"/>
    </row>
    <row r="4" spans="1:6">
      <c r="A4" s="99" t="s">
        <v>294</v>
      </c>
      <c r="B4" s="416">
        <v>44926</v>
      </c>
      <c r="C4" s="416">
        <v>44561</v>
      </c>
      <c r="D4" s="355"/>
      <c r="F4"/>
    </row>
    <row r="5" spans="1:6">
      <c r="A5" s="56" t="s">
        <v>113</v>
      </c>
      <c r="B5" s="88">
        <v>4234002</v>
      </c>
      <c r="C5" s="88">
        <v>3962062</v>
      </c>
      <c r="D5" s="355"/>
      <c r="F5"/>
    </row>
    <row r="6" spans="1:6">
      <c r="A6" s="87" t="s">
        <v>598</v>
      </c>
      <c r="B6" s="200">
        <v>4167320</v>
      </c>
      <c r="C6" s="200">
        <v>3866581</v>
      </c>
      <c r="D6" s="355"/>
      <c r="F6"/>
    </row>
    <row r="7" spans="1:6">
      <c r="A7" s="87" t="s">
        <v>600</v>
      </c>
      <c r="B7" s="200">
        <v>58067</v>
      </c>
      <c r="C7" s="200">
        <v>78112</v>
      </c>
      <c r="D7" s="355"/>
      <c r="F7"/>
    </row>
    <row r="8" spans="1:6">
      <c r="A8" s="87" t="s">
        <v>744</v>
      </c>
      <c r="B8" s="200">
        <v>1471</v>
      </c>
      <c r="C8" s="200">
        <v>13353</v>
      </c>
      <c r="D8" s="355"/>
      <c r="F8"/>
    </row>
    <row r="9" spans="1:6">
      <c r="A9" s="87" t="s">
        <v>745</v>
      </c>
      <c r="B9" s="200">
        <v>4515</v>
      </c>
      <c r="C9" s="200">
        <v>4016</v>
      </c>
      <c r="D9" s="355"/>
      <c r="F9"/>
    </row>
    <row r="10" spans="1:6">
      <c r="A10" s="87" t="s">
        <v>1032</v>
      </c>
      <c r="B10" s="200">
        <v>2629</v>
      </c>
      <c r="C10" s="200">
        <v>0</v>
      </c>
      <c r="D10" s="355"/>
      <c r="F10"/>
    </row>
    <row r="11" spans="1:6">
      <c r="A11" s="52" t="s">
        <v>25</v>
      </c>
      <c r="B11" s="88">
        <f>SUM(B6:B10)</f>
        <v>4234002</v>
      </c>
      <c r="C11" s="88">
        <f>SUM(C6:C10)</f>
        <v>3962062</v>
      </c>
      <c r="D11" s="355"/>
      <c r="F11"/>
    </row>
    <row r="12" spans="1:6">
      <c r="A12" s="489"/>
      <c r="B12" s="490">
        <f>Aktywa!D23-B11</f>
        <v>0</v>
      </c>
      <c r="C12" s="490">
        <f>Aktywa!E23-C11</f>
        <v>0</v>
      </c>
      <c r="D12" s="355"/>
      <c r="E12"/>
      <c r="F12"/>
    </row>
    <row r="13" spans="1:6">
      <c r="A13" s="51"/>
      <c r="B13" s="51"/>
    </row>
  </sheetData>
  <phoneticPr fontId="37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/>
  <dimension ref="B1:I130"/>
  <sheetViews>
    <sheetView showGridLines="0" view="pageBreakPreview" zoomScaleNormal="100" zoomScaleSheetLayoutView="85" workbookViewId="0">
      <selection activeCell="B122" sqref="B122:D129"/>
    </sheetView>
  </sheetViews>
  <sheetFormatPr defaultRowHeight="10.199999999999999"/>
  <cols>
    <col min="1" max="1" width="2.6640625" style="44" customWidth="1"/>
    <col min="2" max="2" width="35.5546875" style="44" customWidth="1"/>
    <col min="3" max="4" width="13.6640625" style="44" customWidth="1"/>
    <col min="5" max="5" width="11.5546875" style="44" customWidth="1"/>
    <col min="6" max="6" width="12.44140625" style="44" customWidth="1"/>
    <col min="7" max="7" width="12.33203125" style="44" customWidth="1"/>
    <col min="8" max="9" width="12.6640625" style="44" customWidth="1"/>
    <col min="10" max="256" width="9.33203125" style="44"/>
    <col min="257" max="257" width="2.6640625" style="44" customWidth="1"/>
    <col min="258" max="258" width="35.5546875" style="44" customWidth="1"/>
    <col min="259" max="260" width="13.6640625" style="44" customWidth="1"/>
    <col min="261" max="261" width="11.5546875" style="44" customWidth="1"/>
    <col min="262" max="262" width="12.44140625" style="44" customWidth="1"/>
    <col min="263" max="263" width="12.33203125" style="44" customWidth="1"/>
    <col min="264" max="265" width="12.6640625" style="44" customWidth="1"/>
    <col min="266" max="512" width="9.33203125" style="44"/>
    <col min="513" max="513" width="2.6640625" style="44" customWidth="1"/>
    <col min="514" max="514" width="35.5546875" style="44" customWidth="1"/>
    <col min="515" max="516" width="13.6640625" style="44" customWidth="1"/>
    <col min="517" max="517" width="11.5546875" style="44" customWidth="1"/>
    <col min="518" max="518" width="12.44140625" style="44" customWidth="1"/>
    <col min="519" max="519" width="12.33203125" style="44" customWidth="1"/>
    <col min="520" max="521" width="12.6640625" style="44" customWidth="1"/>
    <col min="522" max="768" width="9.33203125" style="44"/>
    <col min="769" max="769" width="2.6640625" style="44" customWidth="1"/>
    <col min="770" max="770" width="35.5546875" style="44" customWidth="1"/>
    <col min="771" max="772" width="13.6640625" style="44" customWidth="1"/>
    <col min="773" max="773" width="11.5546875" style="44" customWidth="1"/>
    <col min="774" max="774" width="12.44140625" style="44" customWidth="1"/>
    <col min="775" max="775" width="12.33203125" style="44" customWidth="1"/>
    <col min="776" max="777" width="12.6640625" style="44" customWidth="1"/>
    <col min="778" max="1024" width="9.33203125" style="44"/>
    <col min="1025" max="1025" width="2.6640625" style="44" customWidth="1"/>
    <col min="1026" max="1026" width="35.5546875" style="44" customWidth="1"/>
    <col min="1027" max="1028" width="13.6640625" style="44" customWidth="1"/>
    <col min="1029" max="1029" width="11.5546875" style="44" customWidth="1"/>
    <col min="1030" max="1030" width="12.44140625" style="44" customWidth="1"/>
    <col min="1031" max="1031" width="12.33203125" style="44" customWidth="1"/>
    <col min="1032" max="1033" width="12.6640625" style="44" customWidth="1"/>
    <col min="1034" max="1280" width="9.33203125" style="44"/>
    <col min="1281" max="1281" width="2.6640625" style="44" customWidth="1"/>
    <col min="1282" max="1282" width="35.5546875" style="44" customWidth="1"/>
    <col min="1283" max="1284" width="13.6640625" style="44" customWidth="1"/>
    <col min="1285" max="1285" width="11.5546875" style="44" customWidth="1"/>
    <col min="1286" max="1286" width="12.44140625" style="44" customWidth="1"/>
    <col min="1287" max="1287" width="12.33203125" style="44" customWidth="1"/>
    <col min="1288" max="1289" width="12.6640625" style="44" customWidth="1"/>
    <col min="1290" max="1536" width="9.33203125" style="44"/>
    <col min="1537" max="1537" width="2.6640625" style="44" customWidth="1"/>
    <col min="1538" max="1538" width="35.5546875" style="44" customWidth="1"/>
    <col min="1539" max="1540" width="13.6640625" style="44" customWidth="1"/>
    <col min="1541" max="1541" width="11.5546875" style="44" customWidth="1"/>
    <col min="1542" max="1542" width="12.44140625" style="44" customWidth="1"/>
    <col min="1543" max="1543" width="12.33203125" style="44" customWidth="1"/>
    <col min="1544" max="1545" width="12.6640625" style="44" customWidth="1"/>
    <col min="1546" max="1792" width="9.33203125" style="44"/>
    <col min="1793" max="1793" width="2.6640625" style="44" customWidth="1"/>
    <col min="1794" max="1794" width="35.5546875" style="44" customWidth="1"/>
    <col min="1795" max="1796" width="13.6640625" style="44" customWidth="1"/>
    <col min="1797" max="1797" width="11.5546875" style="44" customWidth="1"/>
    <col min="1798" max="1798" width="12.44140625" style="44" customWidth="1"/>
    <col min="1799" max="1799" width="12.33203125" style="44" customWidth="1"/>
    <col min="1800" max="1801" width="12.6640625" style="44" customWidth="1"/>
    <col min="1802" max="2048" width="9.33203125" style="44"/>
    <col min="2049" max="2049" width="2.6640625" style="44" customWidth="1"/>
    <col min="2050" max="2050" width="35.5546875" style="44" customWidth="1"/>
    <col min="2051" max="2052" width="13.6640625" style="44" customWidth="1"/>
    <col min="2053" max="2053" width="11.5546875" style="44" customWidth="1"/>
    <col min="2054" max="2054" width="12.44140625" style="44" customWidth="1"/>
    <col min="2055" max="2055" width="12.33203125" style="44" customWidth="1"/>
    <col min="2056" max="2057" width="12.6640625" style="44" customWidth="1"/>
    <col min="2058" max="2304" width="9.33203125" style="44"/>
    <col min="2305" max="2305" width="2.6640625" style="44" customWidth="1"/>
    <col min="2306" max="2306" width="35.5546875" style="44" customWidth="1"/>
    <col min="2307" max="2308" width="13.6640625" style="44" customWidth="1"/>
    <col min="2309" max="2309" width="11.5546875" style="44" customWidth="1"/>
    <col min="2310" max="2310" width="12.44140625" style="44" customWidth="1"/>
    <col min="2311" max="2311" width="12.33203125" style="44" customWidth="1"/>
    <col min="2312" max="2313" width="12.6640625" style="44" customWidth="1"/>
    <col min="2314" max="2560" width="9.33203125" style="44"/>
    <col min="2561" max="2561" width="2.6640625" style="44" customWidth="1"/>
    <col min="2562" max="2562" width="35.5546875" style="44" customWidth="1"/>
    <col min="2563" max="2564" width="13.6640625" style="44" customWidth="1"/>
    <col min="2565" max="2565" width="11.5546875" style="44" customWidth="1"/>
    <col min="2566" max="2566" width="12.44140625" style="44" customWidth="1"/>
    <col min="2567" max="2567" width="12.33203125" style="44" customWidth="1"/>
    <col min="2568" max="2569" width="12.6640625" style="44" customWidth="1"/>
    <col min="2570" max="2816" width="9.33203125" style="44"/>
    <col min="2817" max="2817" width="2.6640625" style="44" customWidth="1"/>
    <col min="2818" max="2818" width="35.5546875" style="44" customWidth="1"/>
    <col min="2819" max="2820" width="13.6640625" style="44" customWidth="1"/>
    <col min="2821" max="2821" width="11.5546875" style="44" customWidth="1"/>
    <col min="2822" max="2822" width="12.44140625" style="44" customWidth="1"/>
    <col min="2823" max="2823" width="12.33203125" style="44" customWidth="1"/>
    <col min="2824" max="2825" width="12.6640625" style="44" customWidth="1"/>
    <col min="2826" max="3072" width="9.33203125" style="44"/>
    <col min="3073" max="3073" width="2.6640625" style="44" customWidth="1"/>
    <col min="3074" max="3074" width="35.5546875" style="44" customWidth="1"/>
    <col min="3075" max="3076" width="13.6640625" style="44" customWidth="1"/>
    <col min="3077" max="3077" width="11.5546875" style="44" customWidth="1"/>
    <col min="3078" max="3078" width="12.44140625" style="44" customWidth="1"/>
    <col min="3079" max="3079" width="12.33203125" style="44" customWidth="1"/>
    <col min="3080" max="3081" width="12.6640625" style="44" customWidth="1"/>
    <col min="3082" max="3328" width="9.33203125" style="44"/>
    <col min="3329" max="3329" width="2.6640625" style="44" customWidth="1"/>
    <col min="3330" max="3330" width="35.5546875" style="44" customWidth="1"/>
    <col min="3331" max="3332" width="13.6640625" style="44" customWidth="1"/>
    <col min="3333" max="3333" width="11.5546875" style="44" customWidth="1"/>
    <col min="3334" max="3334" width="12.44140625" style="44" customWidth="1"/>
    <col min="3335" max="3335" width="12.33203125" style="44" customWidth="1"/>
    <col min="3336" max="3337" width="12.6640625" style="44" customWidth="1"/>
    <col min="3338" max="3584" width="9.33203125" style="44"/>
    <col min="3585" max="3585" width="2.6640625" style="44" customWidth="1"/>
    <col min="3586" max="3586" width="35.5546875" style="44" customWidth="1"/>
    <col min="3587" max="3588" width="13.6640625" style="44" customWidth="1"/>
    <col min="3589" max="3589" width="11.5546875" style="44" customWidth="1"/>
    <col min="3590" max="3590" width="12.44140625" style="44" customWidth="1"/>
    <col min="3591" max="3591" width="12.33203125" style="44" customWidth="1"/>
    <col min="3592" max="3593" width="12.6640625" style="44" customWidth="1"/>
    <col min="3594" max="3840" width="9.33203125" style="44"/>
    <col min="3841" max="3841" width="2.6640625" style="44" customWidth="1"/>
    <col min="3842" max="3842" width="35.5546875" style="44" customWidth="1"/>
    <col min="3843" max="3844" width="13.6640625" style="44" customWidth="1"/>
    <col min="3845" max="3845" width="11.5546875" style="44" customWidth="1"/>
    <col min="3846" max="3846" width="12.44140625" style="44" customWidth="1"/>
    <col min="3847" max="3847" width="12.33203125" style="44" customWidth="1"/>
    <col min="3848" max="3849" width="12.6640625" style="44" customWidth="1"/>
    <col min="3850" max="4096" width="9.33203125" style="44"/>
    <col min="4097" max="4097" width="2.6640625" style="44" customWidth="1"/>
    <col min="4098" max="4098" width="35.5546875" style="44" customWidth="1"/>
    <col min="4099" max="4100" width="13.6640625" style="44" customWidth="1"/>
    <col min="4101" max="4101" width="11.5546875" style="44" customWidth="1"/>
    <col min="4102" max="4102" width="12.44140625" style="44" customWidth="1"/>
    <col min="4103" max="4103" width="12.33203125" style="44" customWidth="1"/>
    <col min="4104" max="4105" width="12.6640625" style="44" customWidth="1"/>
    <col min="4106" max="4352" width="9.33203125" style="44"/>
    <col min="4353" max="4353" width="2.6640625" style="44" customWidth="1"/>
    <col min="4354" max="4354" width="35.5546875" style="44" customWidth="1"/>
    <col min="4355" max="4356" width="13.6640625" style="44" customWidth="1"/>
    <col min="4357" max="4357" width="11.5546875" style="44" customWidth="1"/>
    <col min="4358" max="4358" width="12.44140625" style="44" customWidth="1"/>
    <col min="4359" max="4359" width="12.33203125" style="44" customWidth="1"/>
    <col min="4360" max="4361" width="12.6640625" style="44" customWidth="1"/>
    <col min="4362" max="4608" width="9.33203125" style="44"/>
    <col min="4609" max="4609" width="2.6640625" style="44" customWidth="1"/>
    <col min="4610" max="4610" width="35.5546875" style="44" customWidth="1"/>
    <col min="4611" max="4612" width="13.6640625" style="44" customWidth="1"/>
    <col min="4613" max="4613" width="11.5546875" style="44" customWidth="1"/>
    <col min="4614" max="4614" width="12.44140625" style="44" customWidth="1"/>
    <col min="4615" max="4615" width="12.33203125" style="44" customWidth="1"/>
    <col min="4616" max="4617" width="12.6640625" style="44" customWidth="1"/>
    <col min="4618" max="4864" width="9.33203125" style="44"/>
    <col min="4865" max="4865" width="2.6640625" style="44" customWidth="1"/>
    <col min="4866" max="4866" width="35.5546875" style="44" customWidth="1"/>
    <col min="4867" max="4868" width="13.6640625" style="44" customWidth="1"/>
    <col min="4869" max="4869" width="11.5546875" style="44" customWidth="1"/>
    <col min="4870" max="4870" width="12.44140625" style="44" customWidth="1"/>
    <col min="4871" max="4871" width="12.33203125" style="44" customWidth="1"/>
    <col min="4872" max="4873" width="12.6640625" style="44" customWidth="1"/>
    <col min="4874" max="5120" width="9.33203125" style="44"/>
    <col min="5121" max="5121" width="2.6640625" style="44" customWidth="1"/>
    <col min="5122" max="5122" width="35.5546875" style="44" customWidth="1"/>
    <col min="5123" max="5124" width="13.6640625" style="44" customWidth="1"/>
    <col min="5125" max="5125" width="11.5546875" style="44" customWidth="1"/>
    <col min="5126" max="5126" width="12.44140625" style="44" customWidth="1"/>
    <col min="5127" max="5127" width="12.33203125" style="44" customWidth="1"/>
    <col min="5128" max="5129" width="12.6640625" style="44" customWidth="1"/>
    <col min="5130" max="5376" width="9.33203125" style="44"/>
    <col min="5377" max="5377" width="2.6640625" style="44" customWidth="1"/>
    <col min="5378" max="5378" width="35.5546875" style="44" customWidth="1"/>
    <col min="5379" max="5380" width="13.6640625" style="44" customWidth="1"/>
    <col min="5381" max="5381" width="11.5546875" style="44" customWidth="1"/>
    <col min="5382" max="5382" width="12.44140625" style="44" customWidth="1"/>
    <col min="5383" max="5383" width="12.33203125" style="44" customWidth="1"/>
    <col min="5384" max="5385" width="12.6640625" style="44" customWidth="1"/>
    <col min="5386" max="5632" width="9.33203125" style="44"/>
    <col min="5633" max="5633" width="2.6640625" style="44" customWidth="1"/>
    <col min="5634" max="5634" width="35.5546875" style="44" customWidth="1"/>
    <col min="5635" max="5636" width="13.6640625" style="44" customWidth="1"/>
    <col min="5637" max="5637" width="11.5546875" style="44" customWidth="1"/>
    <col min="5638" max="5638" width="12.44140625" style="44" customWidth="1"/>
    <col min="5639" max="5639" width="12.33203125" style="44" customWidth="1"/>
    <col min="5640" max="5641" width="12.6640625" style="44" customWidth="1"/>
    <col min="5642" max="5888" width="9.33203125" style="44"/>
    <col min="5889" max="5889" width="2.6640625" style="44" customWidth="1"/>
    <col min="5890" max="5890" width="35.5546875" style="44" customWidth="1"/>
    <col min="5891" max="5892" width="13.6640625" style="44" customWidth="1"/>
    <col min="5893" max="5893" width="11.5546875" style="44" customWidth="1"/>
    <col min="5894" max="5894" width="12.44140625" style="44" customWidth="1"/>
    <col min="5895" max="5895" width="12.33203125" style="44" customWidth="1"/>
    <col min="5896" max="5897" width="12.6640625" style="44" customWidth="1"/>
    <col min="5898" max="6144" width="9.33203125" style="44"/>
    <col min="6145" max="6145" width="2.6640625" style="44" customWidth="1"/>
    <col min="6146" max="6146" width="35.5546875" style="44" customWidth="1"/>
    <col min="6147" max="6148" width="13.6640625" style="44" customWidth="1"/>
    <col min="6149" max="6149" width="11.5546875" style="44" customWidth="1"/>
    <col min="6150" max="6150" width="12.44140625" style="44" customWidth="1"/>
    <col min="6151" max="6151" width="12.33203125" style="44" customWidth="1"/>
    <col min="6152" max="6153" width="12.6640625" style="44" customWidth="1"/>
    <col min="6154" max="6400" width="9.33203125" style="44"/>
    <col min="6401" max="6401" width="2.6640625" style="44" customWidth="1"/>
    <col min="6402" max="6402" width="35.5546875" style="44" customWidth="1"/>
    <col min="6403" max="6404" width="13.6640625" style="44" customWidth="1"/>
    <col min="6405" max="6405" width="11.5546875" style="44" customWidth="1"/>
    <col min="6406" max="6406" width="12.44140625" style="44" customWidth="1"/>
    <col min="6407" max="6407" width="12.33203125" style="44" customWidth="1"/>
    <col min="6408" max="6409" width="12.6640625" style="44" customWidth="1"/>
    <col min="6410" max="6656" width="9.33203125" style="44"/>
    <col min="6657" max="6657" width="2.6640625" style="44" customWidth="1"/>
    <col min="6658" max="6658" width="35.5546875" style="44" customWidth="1"/>
    <col min="6659" max="6660" width="13.6640625" style="44" customWidth="1"/>
    <col min="6661" max="6661" width="11.5546875" style="44" customWidth="1"/>
    <col min="6662" max="6662" width="12.44140625" style="44" customWidth="1"/>
    <col min="6663" max="6663" width="12.33203125" style="44" customWidth="1"/>
    <col min="6664" max="6665" width="12.6640625" style="44" customWidth="1"/>
    <col min="6666" max="6912" width="9.33203125" style="44"/>
    <col min="6913" max="6913" width="2.6640625" style="44" customWidth="1"/>
    <col min="6914" max="6914" width="35.5546875" style="44" customWidth="1"/>
    <col min="6915" max="6916" width="13.6640625" style="44" customWidth="1"/>
    <col min="6917" max="6917" width="11.5546875" style="44" customWidth="1"/>
    <col min="6918" max="6918" width="12.44140625" style="44" customWidth="1"/>
    <col min="6919" max="6919" width="12.33203125" style="44" customWidth="1"/>
    <col min="6920" max="6921" width="12.6640625" style="44" customWidth="1"/>
    <col min="6922" max="7168" width="9.33203125" style="44"/>
    <col min="7169" max="7169" width="2.6640625" style="44" customWidth="1"/>
    <col min="7170" max="7170" width="35.5546875" style="44" customWidth="1"/>
    <col min="7171" max="7172" width="13.6640625" style="44" customWidth="1"/>
    <col min="7173" max="7173" width="11.5546875" style="44" customWidth="1"/>
    <col min="7174" max="7174" width="12.44140625" style="44" customWidth="1"/>
    <col min="7175" max="7175" width="12.33203125" style="44" customWidth="1"/>
    <col min="7176" max="7177" width="12.6640625" style="44" customWidth="1"/>
    <col min="7178" max="7424" width="9.33203125" style="44"/>
    <col min="7425" max="7425" width="2.6640625" style="44" customWidth="1"/>
    <col min="7426" max="7426" width="35.5546875" style="44" customWidth="1"/>
    <col min="7427" max="7428" width="13.6640625" style="44" customWidth="1"/>
    <col min="7429" max="7429" width="11.5546875" style="44" customWidth="1"/>
    <col min="7430" max="7430" width="12.44140625" style="44" customWidth="1"/>
    <col min="7431" max="7431" width="12.33203125" style="44" customWidth="1"/>
    <col min="7432" max="7433" width="12.6640625" style="44" customWidth="1"/>
    <col min="7434" max="7680" width="9.33203125" style="44"/>
    <col min="7681" max="7681" width="2.6640625" style="44" customWidth="1"/>
    <col min="7682" max="7682" width="35.5546875" style="44" customWidth="1"/>
    <col min="7683" max="7684" width="13.6640625" style="44" customWidth="1"/>
    <col min="7685" max="7685" width="11.5546875" style="44" customWidth="1"/>
    <col min="7686" max="7686" width="12.44140625" style="44" customWidth="1"/>
    <col min="7687" max="7687" width="12.33203125" style="44" customWidth="1"/>
    <col min="7688" max="7689" width="12.6640625" style="44" customWidth="1"/>
    <col min="7690" max="7936" width="9.33203125" style="44"/>
    <col min="7937" max="7937" width="2.6640625" style="44" customWidth="1"/>
    <col min="7938" max="7938" width="35.5546875" style="44" customWidth="1"/>
    <col min="7939" max="7940" width="13.6640625" style="44" customWidth="1"/>
    <col min="7941" max="7941" width="11.5546875" style="44" customWidth="1"/>
    <col min="7942" max="7942" width="12.44140625" style="44" customWidth="1"/>
    <col min="7943" max="7943" width="12.33203125" style="44" customWidth="1"/>
    <col min="7944" max="7945" width="12.6640625" style="44" customWidth="1"/>
    <col min="7946" max="8192" width="9.33203125" style="44"/>
    <col min="8193" max="8193" width="2.6640625" style="44" customWidth="1"/>
    <col min="8194" max="8194" width="35.5546875" style="44" customWidth="1"/>
    <col min="8195" max="8196" width="13.6640625" style="44" customWidth="1"/>
    <col min="8197" max="8197" width="11.5546875" style="44" customWidth="1"/>
    <col min="8198" max="8198" width="12.44140625" style="44" customWidth="1"/>
    <col min="8199" max="8199" width="12.33203125" style="44" customWidth="1"/>
    <col min="8200" max="8201" width="12.6640625" style="44" customWidth="1"/>
    <col min="8202" max="8448" width="9.33203125" style="44"/>
    <col min="8449" max="8449" width="2.6640625" style="44" customWidth="1"/>
    <col min="8450" max="8450" width="35.5546875" style="44" customWidth="1"/>
    <col min="8451" max="8452" width="13.6640625" style="44" customWidth="1"/>
    <col min="8453" max="8453" width="11.5546875" style="44" customWidth="1"/>
    <col min="8454" max="8454" width="12.44140625" style="44" customWidth="1"/>
    <col min="8455" max="8455" width="12.33203125" style="44" customWidth="1"/>
    <col min="8456" max="8457" width="12.6640625" style="44" customWidth="1"/>
    <col min="8458" max="8704" width="9.33203125" style="44"/>
    <col min="8705" max="8705" width="2.6640625" style="44" customWidth="1"/>
    <col min="8706" max="8706" width="35.5546875" style="44" customWidth="1"/>
    <col min="8707" max="8708" width="13.6640625" style="44" customWidth="1"/>
    <col min="8709" max="8709" width="11.5546875" style="44" customWidth="1"/>
    <col min="8710" max="8710" width="12.44140625" style="44" customWidth="1"/>
    <col min="8711" max="8711" width="12.33203125" style="44" customWidth="1"/>
    <col min="8712" max="8713" width="12.6640625" style="44" customWidth="1"/>
    <col min="8714" max="8960" width="9.33203125" style="44"/>
    <col min="8961" max="8961" width="2.6640625" style="44" customWidth="1"/>
    <col min="8962" max="8962" width="35.5546875" style="44" customWidth="1"/>
    <col min="8963" max="8964" width="13.6640625" style="44" customWidth="1"/>
    <col min="8965" max="8965" width="11.5546875" style="44" customWidth="1"/>
    <col min="8966" max="8966" width="12.44140625" style="44" customWidth="1"/>
    <col min="8967" max="8967" width="12.33203125" style="44" customWidth="1"/>
    <col min="8968" max="8969" width="12.6640625" style="44" customWidth="1"/>
    <col min="8970" max="9216" width="9.33203125" style="44"/>
    <col min="9217" max="9217" width="2.6640625" style="44" customWidth="1"/>
    <col min="9218" max="9218" width="35.5546875" style="44" customWidth="1"/>
    <col min="9219" max="9220" width="13.6640625" style="44" customWidth="1"/>
    <col min="9221" max="9221" width="11.5546875" style="44" customWidth="1"/>
    <col min="9222" max="9222" width="12.44140625" style="44" customWidth="1"/>
    <col min="9223" max="9223" width="12.33203125" style="44" customWidth="1"/>
    <col min="9224" max="9225" width="12.6640625" style="44" customWidth="1"/>
    <col min="9226" max="9472" width="9.33203125" style="44"/>
    <col min="9473" max="9473" width="2.6640625" style="44" customWidth="1"/>
    <col min="9474" max="9474" width="35.5546875" style="44" customWidth="1"/>
    <col min="9475" max="9476" width="13.6640625" style="44" customWidth="1"/>
    <col min="9477" max="9477" width="11.5546875" style="44" customWidth="1"/>
    <col min="9478" max="9478" width="12.44140625" style="44" customWidth="1"/>
    <col min="9479" max="9479" width="12.33203125" style="44" customWidth="1"/>
    <col min="9480" max="9481" width="12.6640625" style="44" customWidth="1"/>
    <col min="9482" max="9728" width="9.33203125" style="44"/>
    <col min="9729" max="9729" width="2.6640625" style="44" customWidth="1"/>
    <col min="9730" max="9730" width="35.5546875" style="44" customWidth="1"/>
    <col min="9731" max="9732" width="13.6640625" style="44" customWidth="1"/>
    <col min="9733" max="9733" width="11.5546875" style="44" customWidth="1"/>
    <col min="9734" max="9734" width="12.44140625" style="44" customWidth="1"/>
    <col min="9735" max="9735" width="12.33203125" style="44" customWidth="1"/>
    <col min="9736" max="9737" width="12.6640625" style="44" customWidth="1"/>
    <col min="9738" max="9984" width="9.33203125" style="44"/>
    <col min="9985" max="9985" width="2.6640625" style="44" customWidth="1"/>
    <col min="9986" max="9986" width="35.5546875" style="44" customWidth="1"/>
    <col min="9987" max="9988" width="13.6640625" style="44" customWidth="1"/>
    <col min="9989" max="9989" width="11.5546875" style="44" customWidth="1"/>
    <col min="9990" max="9990" width="12.44140625" style="44" customWidth="1"/>
    <col min="9991" max="9991" width="12.33203125" style="44" customWidth="1"/>
    <col min="9992" max="9993" width="12.6640625" style="44" customWidth="1"/>
    <col min="9994" max="10240" width="9.33203125" style="44"/>
    <col min="10241" max="10241" width="2.6640625" style="44" customWidth="1"/>
    <col min="10242" max="10242" width="35.5546875" style="44" customWidth="1"/>
    <col min="10243" max="10244" width="13.6640625" style="44" customWidth="1"/>
    <col min="10245" max="10245" width="11.5546875" style="44" customWidth="1"/>
    <col min="10246" max="10246" width="12.44140625" style="44" customWidth="1"/>
    <col min="10247" max="10247" width="12.33203125" style="44" customWidth="1"/>
    <col min="10248" max="10249" width="12.6640625" style="44" customWidth="1"/>
    <col min="10250" max="10496" width="9.33203125" style="44"/>
    <col min="10497" max="10497" width="2.6640625" style="44" customWidth="1"/>
    <col min="10498" max="10498" width="35.5546875" style="44" customWidth="1"/>
    <col min="10499" max="10500" width="13.6640625" style="44" customWidth="1"/>
    <col min="10501" max="10501" width="11.5546875" style="44" customWidth="1"/>
    <col min="10502" max="10502" width="12.44140625" style="44" customWidth="1"/>
    <col min="10503" max="10503" width="12.33203125" style="44" customWidth="1"/>
    <col min="10504" max="10505" width="12.6640625" style="44" customWidth="1"/>
    <col min="10506" max="10752" width="9.33203125" style="44"/>
    <col min="10753" max="10753" width="2.6640625" style="44" customWidth="1"/>
    <col min="10754" max="10754" width="35.5546875" style="44" customWidth="1"/>
    <col min="10755" max="10756" width="13.6640625" style="44" customWidth="1"/>
    <col min="10757" max="10757" width="11.5546875" style="44" customWidth="1"/>
    <col min="10758" max="10758" width="12.44140625" style="44" customWidth="1"/>
    <col min="10759" max="10759" width="12.33203125" style="44" customWidth="1"/>
    <col min="10760" max="10761" width="12.6640625" style="44" customWidth="1"/>
    <col min="10762" max="11008" width="9.33203125" style="44"/>
    <col min="11009" max="11009" width="2.6640625" style="44" customWidth="1"/>
    <col min="11010" max="11010" width="35.5546875" style="44" customWidth="1"/>
    <col min="11011" max="11012" width="13.6640625" style="44" customWidth="1"/>
    <col min="11013" max="11013" width="11.5546875" style="44" customWidth="1"/>
    <col min="11014" max="11014" width="12.44140625" style="44" customWidth="1"/>
    <col min="11015" max="11015" width="12.33203125" style="44" customWidth="1"/>
    <col min="11016" max="11017" width="12.6640625" style="44" customWidth="1"/>
    <col min="11018" max="11264" width="9.33203125" style="44"/>
    <col min="11265" max="11265" width="2.6640625" style="44" customWidth="1"/>
    <col min="11266" max="11266" width="35.5546875" style="44" customWidth="1"/>
    <col min="11267" max="11268" width="13.6640625" style="44" customWidth="1"/>
    <col min="11269" max="11269" width="11.5546875" style="44" customWidth="1"/>
    <col min="11270" max="11270" width="12.44140625" style="44" customWidth="1"/>
    <col min="11271" max="11271" width="12.33203125" style="44" customWidth="1"/>
    <col min="11272" max="11273" width="12.6640625" style="44" customWidth="1"/>
    <col min="11274" max="11520" width="9.33203125" style="44"/>
    <col min="11521" max="11521" width="2.6640625" style="44" customWidth="1"/>
    <col min="11522" max="11522" width="35.5546875" style="44" customWidth="1"/>
    <col min="11523" max="11524" width="13.6640625" style="44" customWidth="1"/>
    <col min="11525" max="11525" width="11.5546875" style="44" customWidth="1"/>
    <col min="11526" max="11526" width="12.44140625" style="44" customWidth="1"/>
    <col min="11527" max="11527" width="12.33203125" style="44" customWidth="1"/>
    <col min="11528" max="11529" width="12.6640625" style="44" customWidth="1"/>
    <col min="11530" max="11776" width="9.33203125" style="44"/>
    <col min="11777" max="11777" width="2.6640625" style="44" customWidth="1"/>
    <col min="11778" max="11778" width="35.5546875" style="44" customWidth="1"/>
    <col min="11779" max="11780" width="13.6640625" style="44" customWidth="1"/>
    <col min="11781" max="11781" width="11.5546875" style="44" customWidth="1"/>
    <col min="11782" max="11782" width="12.44140625" style="44" customWidth="1"/>
    <col min="11783" max="11783" width="12.33203125" style="44" customWidth="1"/>
    <col min="11784" max="11785" width="12.6640625" style="44" customWidth="1"/>
    <col min="11786" max="12032" width="9.33203125" style="44"/>
    <col min="12033" max="12033" width="2.6640625" style="44" customWidth="1"/>
    <col min="12034" max="12034" width="35.5546875" style="44" customWidth="1"/>
    <col min="12035" max="12036" width="13.6640625" style="44" customWidth="1"/>
    <col min="12037" max="12037" width="11.5546875" style="44" customWidth="1"/>
    <col min="12038" max="12038" width="12.44140625" style="44" customWidth="1"/>
    <col min="12039" max="12039" width="12.33203125" style="44" customWidth="1"/>
    <col min="12040" max="12041" width="12.6640625" style="44" customWidth="1"/>
    <col min="12042" max="12288" width="9.33203125" style="44"/>
    <col min="12289" max="12289" width="2.6640625" style="44" customWidth="1"/>
    <col min="12290" max="12290" width="35.5546875" style="44" customWidth="1"/>
    <col min="12291" max="12292" width="13.6640625" style="44" customWidth="1"/>
    <col min="12293" max="12293" width="11.5546875" style="44" customWidth="1"/>
    <col min="12294" max="12294" width="12.44140625" style="44" customWidth="1"/>
    <col min="12295" max="12295" width="12.33203125" style="44" customWidth="1"/>
    <col min="12296" max="12297" width="12.6640625" style="44" customWidth="1"/>
    <col min="12298" max="12544" width="9.33203125" style="44"/>
    <col min="12545" max="12545" width="2.6640625" style="44" customWidth="1"/>
    <col min="12546" max="12546" width="35.5546875" style="44" customWidth="1"/>
    <col min="12547" max="12548" width="13.6640625" style="44" customWidth="1"/>
    <col min="12549" max="12549" width="11.5546875" style="44" customWidth="1"/>
    <col min="12550" max="12550" width="12.44140625" style="44" customWidth="1"/>
    <col min="12551" max="12551" width="12.33203125" style="44" customWidth="1"/>
    <col min="12552" max="12553" width="12.6640625" style="44" customWidth="1"/>
    <col min="12554" max="12800" width="9.33203125" style="44"/>
    <col min="12801" max="12801" width="2.6640625" style="44" customWidth="1"/>
    <col min="12802" max="12802" width="35.5546875" style="44" customWidth="1"/>
    <col min="12803" max="12804" width="13.6640625" style="44" customWidth="1"/>
    <col min="12805" max="12805" width="11.5546875" style="44" customWidth="1"/>
    <col min="12806" max="12806" width="12.44140625" style="44" customWidth="1"/>
    <col min="12807" max="12807" width="12.33203125" style="44" customWidth="1"/>
    <col min="12808" max="12809" width="12.6640625" style="44" customWidth="1"/>
    <col min="12810" max="13056" width="9.33203125" style="44"/>
    <col min="13057" max="13057" width="2.6640625" style="44" customWidth="1"/>
    <col min="13058" max="13058" width="35.5546875" style="44" customWidth="1"/>
    <col min="13059" max="13060" width="13.6640625" style="44" customWidth="1"/>
    <col min="13061" max="13061" width="11.5546875" style="44" customWidth="1"/>
    <col min="13062" max="13062" width="12.44140625" style="44" customWidth="1"/>
    <col min="13063" max="13063" width="12.33203125" style="44" customWidth="1"/>
    <col min="13064" max="13065" width="12.6640625" style="44" customWidth="1"/>
    <col min="13066" max="13312" width="9.33203125" style="44"/>
    <col min="13313" max="13313" width="2.6640625" style="44" customWidth="1"/>
    <col min="13314" max="13314" width="35.5546875" style="44" customWidth="1"/>
    <col min="13315" max="13316" width="13.6640625" style="44" customWidth="1"/>
    <col min="13317" max="13317" width="11.5546875" style="44" customWidth="1"/>
    <col min="13318" max="13318" width="12.44140625" style="44" customWidth="1"/>
    <col min="13319" max="13319" width="12.33203125" style="44" customWidth="1"/>
    <col min="13320" max="13321" width="12.6640625" style="44" customWidth="1"/>
    <col min="13322" max="13568" width="9.33203125" style="44"/>
    <col min="13569" max="13569" width="2.6640625" style="44" customWidth="1"/>
    <col min="13570" max="13570" width="35.5546875" style="44" customWidth="1"/>
    <col min="13571" max="13572" width="13.6640625" style="44" customWidth="1"/>
    <col min="13573" max="13573" width="11.5546875" style="44" customWidth="1"/>
    <col min="13574" max="13574" width="12.44140625" style="44" customWidth="1"/>
    <col min="13575" max="13575" width="12.33203125" style="44" customWidth="1"/>
    <col min="13576" max="13577" width="12.6640625" style="44" customWidth="1"/>
    <col min="13578" max="13824" width="9.33203125" style="44"/>
    <col min="13825" max="13825" width="2.6640625" style="44" customWidth="1"/>
    <col min="13826" max="13826" width="35.5546875" style="44" customWidth="1"/>
    <col min="13827" max="13828" width="13.6640625" style="44" customWidth="1"/>
    <col min="13829" max="13829" width="11.5546875" style="44" customWidth="1"/>
    <col min="13830" max="13830" width="12.44140625" style="44" customWidth="1"/>
    <col min="13831" max="13831" width="12.33203125" style="44" customWidth="1"/>
    <col min="13832" max="13833" width="12.6640625" style="44" customWidth="1"/>
    <col min="13834" max="14080" width="9.33203125" style="44"/>
    <col min="14081" max="14081" width="2.6640625" style="44" customWidth="1"/>
    <col min="14082" max="14082" width="35.5546875" style="44" customWidth="1"/>
    <col min="14083" max="14084" width="13.6640625" style="44" customWidth="1"/>
    <col min="14085" max="14085" width="11.5546875" style="44" customWidth="1"/>
    <col min="14086" max="14086" width="12.44140625" style="44" customWidth="1"/>
    <col min="14087" max="14087" width="12.33203125" style="44" customWidth="1"/>
    <col min="14088" max="14089" width="12.6640625" style="44" customWidth="1"/>
    <col min="14090" max="14336" width="9.33203125" style="44"/>
    <col min="14337" max="14337" width="2.6640625" style="44" customWidth="1"/>
    <col min="14338" max="14338" width="35.5546875" style="44" customWidth="1"/>
    <col min="14339" max="14340" width="13.6640625" style="44" customWidth="1"/>
    <col min="14341" max="14341" width="11.5546875" style="44" customWidth="1"/>
    <col min="14342" max="14342" width="12.44140625" style="44" customWidth="1"/>
    <col min="14343" max="14343" width="12.33203125" style="44" customWidth="1"/>
    <col min="14344" max="14345" width="12.6640625" style="44" customWidth="1"/>
    <col min="14346" max="14592" width="9.33203125" style="44"/>
    <col min="14593" max="14593" width="2.6640625" style="44" customWidth="1"/>
    <col min="14594" max="14594" width="35.5546875" style="44" customWidth="1"/>
    <col min="14595" max="14596" width="13.6640625" style="44" customWidth="1"/>
    <col min="14597" max="14597" width="11.5546875" style="44" customWidth="1"/>
    <col min="14598" max="14598" width="12.44140625" style="44" customWidth="1"/>
    <col min="14599" max="14599" width="12.33203125" style="44" customWidth="1"/>
    <col min="14600" max="14601" width="12.6640625" style="44" customWidth="1"/>
    <col min="14602" max="14848" width="9.33203125" style="44"/>
    <col min="14849" max="14849" width="2.6640625" style="44" customWidth="1"/>
    <col min="14850" max="14850" width="35.5546875" style="44" customWidth="1"/>
    <col min="14851" max="14852" width="13.6640625" style="44" customWidth="1"/>
    <col min="14853" max="14853" width="11.5546875" style="44" customWidth="1"/>
    <col min="14854" max="14854" width="12.44140625" style="44" customWidth="1"/>
    <col min="14855" max="14855" width="12.33203125" style="44" customWidth="1"/>
    <col min="14856" max="14857" width="12.6640625" style="44" customWidth="1"/>
    <col min="14858" max="15104" width="9.33203125" style="44"/>
    <col min="15105" max="15105" width="2.6640625" style="44" customWidth="1"/>
    <col min="15106" max="15106" width="35.5546875" style="44" customWidth="1"/>
    <col min="15107" max="15108" width="13.6640625" style="44" customWidth="1"/>
    <col min="15109" max="15109" width="11.5546875" style="44" customWidth="1"/>
    <col min="15110" max="15110" width="12.44140625" style="44" customWidth="1"/>
    <col min="15111" max="15111" width="12.33203125" style="44" customWidth="1"/>
    <col min="15112" max="15113" width="12.6640625" style="44" customWidth="1"/>
    <col min="15114" max="15360" width="9.33203125" style="44"/>
    <col min="15361" max="15361" width="2.6640625" style="44" customWidth="1"/>
    <col min="15362" max="15362" width="35.5546875" style="44" customWidth="1"/>
    <col min="15363" max="15364" width="13.6640625" style="44" customWidth="1"/>
    <col min="15365" max="15365" width="11.5546875" style="44" customWidth="1"/>
    <col min="15366" max="15366" width="12.44140625" style="44" customWidth="1"/>
    <col min="15367" max="15367" width="12.33203125" style="44" customWidth="1"/>
    <col min="15368" max="15369" width="12.6640625" style="44" customWidth="1"/>
    <col min="15370" max="15616" width="9.33203125" style="44"/>
    <col min="15617" max="15617" width="2.6640625" style="44" customWidth="1"/>
    <col min="15618" max="15618" width="35.5546875" style="44" customWidth="1"/>
    <col min="15619" max="15620" width="13.6640625" style="44" customWidth="1"/>
    <col min="15621" max="15621" width="11.5546875" style="44" customWidth="1"/>
    <col min="15622" max="15622" width="12.44140625" style="44" customWidth="1"/>
    <col min="15623" max="15623" width="12.33203125" style="44" customWidth="1"/>
    <col min="15624" max="15625" width="12.6640625" style="44" customWidth="1"/>
    <col min="15626" max="15872" width="9.33203125" style="44"/>
    <col min="15873" max="15873" width="2.6640625" style="44" customWidth="1"/>
    <col min="15874" max="15874" width="35.5546875" style="44" customWidth="1"/>
    <col min="15875" max="15876" width="13.6640625" style="44" customWidth="1"/>
    <col min="15877" max="15877" width="11.5546875" style="44" customWidth="1"/>
    <col min="15878" max="15878" width="12.44140625" style="44" customWidth="1"/>
    <col min="15879" max="15879" width="12.33203125" style="44" customWidth="1"/>
    <col min="15880" max="15881" width="12.6640625" style="44" customWidth="1"/>
    <col min="15882" max="16128" width="9.33203125" style="44"/>
    <col min="16129" max="16129" width="2.6640625" style="44" customWidth="1"/>
    <col min="16130" max="16130" width="35.5546875" style="44" customWidth="1"/>
    <col min="16131" max="16132" width="13.6640625" style="44" customWidth="1"/>
    <col min="16133" max="16133" width="11.5546875" style="44" customWidth="1"/>
    <col min="16134" max="16134" width="12.44140625" style="44" customWidth="1"/>
    <col min="16135" max="16135" width="12.33203125" style="44" customWidth="1"/>
    <col min="16136" max="16137" width="12.6640625" style="44" customWidth="1"/>
    <col min="16138" max="16384" width="9.33203125" style="44"/>
  </cols>
  <sheetData>
    <row r="1" spans="2:9">
      <c r="B1" s="172"/>
    </row>
    <row r="3" spans="2:9" ht="13.2">
      <c r="B3" s="381" t="s">
        <v>917</v>
      </c>
    </row>
    <row r="4" spans="2:9">
      <c r="C4" s="699"/>
      <c r="D4" s="699"/>
      <c r="E4" s="699"/>
    </row>
    <row r="5" spans="2:9" ht="22.5" customHeight="1">
      <c r="B5" s="710" t="s">
        <v>1022</v>
      </c>
      <c r="C5" s="710"/>
      <c r="D5" s="402"/>
      <c r="E5" s="402"/>
    </row>
    <row r="7" spans="2:9" ht="48.75" customHeight="1">
      <c r="B7" s="141" t="s">
        <v>249</v>
      </c>
      <c r="C7" s="400" t="s">
        <v>74</v>
      </c>
      <c r="D7" s="400" t="s">
        <v>75</v>
      </c>
      <c r="E7" s="400" t="s">
        <v>419</v>
      </c>
      <c r="F7" s="70" t="s">
        <v>248</v>
      </c>
      <c r="G7" s="400" t="s">
        <v>76</v>
      </c>
      <c r="H7" s="400" t="s">
        <v>77</v>
      </c>
      <c r="I7" s="99" t="s">
        <v>245</v>
      </c>
    </row>
    <row r="8" spans="2:9">
      <c r="B8" s="353" t="s">
        <v>543</v>
      </c>
      <c r="C8" s="519" t="s">
        <v>544</v>
      </c>
      <c r="D8" s="519"/>
      <c r="E8" s="157">
        <v>2000000</v>
      </c>
      <c r="F8" s="520">
        <v>0.1</v>
      </c>
      <c r="G8" s="157">
        <f>E8*F8</f>
        <v>200000</v>
      </c>
      <c r="H8" s="200"/>
      <c r="I8" s="309"/>
    </row>
    <row r="9" spans="2:9">
      <c r="B9" s="353" t="s">
        <v>545</v>
      </c>
      <c r="C9" s="519" t="s">
        <v>544</v>
      </c>
      <c r="D9" s="521"/>
      <c r="E9" s="157">
        <v>215500</v>
      </c>
      <c r="F9" s="520">
        <v>0.1</v>
      </c>
      <c r="G9" s="157">
        <f t="shared" ref="G9:G13" si="0">E9*F9</f>
        <v>21550</v>
      </c>
      <c r="H9" s="200"/>
      <c r="I9" s="309"/>
    </row>
    <row r="10" spans="2:9">
      <c r="B10" s="353" t="s">
        <v>584</v>
      </c>
      <c r="C10" s="519" t="s">
        <v>544</v>
      </c>
      <c r="D10" s="522"/>
      <c r="E10" s="157">
        <v>31741</v>
      </c>
      <c r="F10" s="520">
        <v>0.1</v>
      </c>
      <c r="G10" s="157">
        <f t="shared" si="0"/>
        <v>3174.1000000000004</v>
      </c>
      <c r="H10" s="200"/>
      <c r="I10" s="309"/>
    </row>
    <row r="11" spans="2:9">
      <c r="B11" s="353" t="s">
        <v>585</v>
      </c>
      <c r="C11" s="519" t="s">
        <v>544</v>
      </c>
      <c r="D11" s="522"/>
      <c r="E11" s="157">
        <v>44310</v>
      </c>
      <c r="F11" s="520">
        <v>0.1</v>
      </c>
      <c r="G11" s="157">
        <f t="shared" si="0"/>
        <v>4431</v>
      </c>
      <c r="H11" s="200"/>
      <c r="I11" s="309"/>
    </row>
    <row r="12" spans="2:9">
      <c r="B12" s="353" t="s">
        <v>694</v>
      </c>
      <c r="C12" s="519" t="s">
        <v>544</v>
      </c>
      <c r="D12" s="522"/>
      <c r="E12" s="157">
        <v>81440</v>
      </c>
      <c r="F12" s="520">
        <v>0.1</v>
      </c>
      <c r="G12" s="157">
        <f t="shared" si="0"/>
        <v>8144</v>
      </c>
      <c r="H12" s="200"/>
      <c r="I12" s="309"/>
    </row>
    <row r="13" spans="2:9">
      <c r="B13" s="353" t="s">
        <v>695</v>
      </c>
      <c r="C13" s="519" t="s">
        <v>544</v>
      </c>
      <c r="D13" s="522"/>
      <c r="E13" s="157">
        <v>112784</v>
      </c>
      <c r="F13" s="520">
        <v>0.1</v>
      </c>
      <c r="G13" s="157">
        <f t="shared" si="0"/>
        <v>11278.400000000001</v>
      </c>
      <c r="H13" s="200"/>
      <c r="I13" s="309"/>
    </row>
    <row r="14" spans="2:9">
      <c r="C14" s="10"/>
      <c r="D14" s="142"/>
      <c r="E14" s="146"/>
      <c r="G14" s="304"/>
      <c r="H14" s="10"/>
    </row>
    <row r="15" spans="2:9">
      <c r="B15" s="7"/>
      <c r="C15" s="7"/>
      <c r="D15" s="7"/>
      <c r="E15" s="7"/>
      <c r="F15" s="7"/>
      <c r="G15" s="10"/>
    </row>
    <row r="16" spans="2:9">
      <c r="B16" s="11" t="s">
        <v>185</v>
      </c>
      <c r="C16" s="11"/>
      <c r="D16" s="11"/>
      <c r="E16" s="11"/>
      <c r="F16" s="11"/>
    </row>
    <row r="17" spans="2:9">
      <c r="B17" s="11"/>
      <c r="C17" s="11"/>
      <c r="D17" s="11"/>
      <c r="E17" s="11"/>
      <c r="F17" s="11"/>
    </row>
    <row r="18" spans="2:9" ht="20.399999999999999">
      <c r="B18" s="141" t="s">
        <v>73</v>
      </c>
      <c r="C18" s="400" t="s">
        <v>419</v>
      </c>
      <c r="D18" s="400" t="s">
        <v>78</v>
      </c>
      <c r="E18" s="400" t="s">
        <v>79</v>
      </c>
      <c r="F18" s="400" t="s">
        <v>80</v>
      </c>
    </row>
    <row r="19" spans="2:9">
      <c r="B19" s="616" t="s">
        <v>623</v>
      </c>
      <c r="C19" s="527">
        <v>1504071</v>
      </c>
      <c r="D19" s="528">
        <v>0.60509999999999997</v>
      </c>
      <c r="E19" s="527">
        <v>1504071</v>
      </c>
      <c r="F19" s="528">
        <v>0.60509999999999997</v>
      </c>
    </row>
    <row r="20" spans="2:9">
      <c r="B20" s="616" t="s">
        <v>727</v>
      </c>
      <c r="C20" s="527">
        <v>323330</v>
      </c>
      <c r="D20" s="528">
        <v>0.13</v>
      </c>
      <c r="E20" s="527">
        <v>323330</v>
      </c>
      <c r="F20" s="528">
        <v>0.13</v>
      </c>
    </row>
    <row r="21" spans="2:9">
      <c r="B21" s="616" t="s">
        <v>728</v>
      </c>
      <c r="C21" s="527">
        <v>210230</v>
      </c>
      <c r="D21" s="528">
        <v>8.4599999999999995E-2</v>
      </c>
      <c r="E21" s="527">
        <v>210230</v>
      </c>
      <c r="F21" s="528">
        <v>8.4599999999999995E-2</v>
      </c>
    </row>
    <row r="22" spans="2:9">
      <c r="B22" s="616" t="s">
        <v>1031</v>
      </c>
      <c r="C22" s="527">
        <v>126500</v>
      </c>
      <c r="D22" s="528">
        <v>5.0900000000000001E-2</v>
      </c>
      <c r="E22" s="527">
        <v>126500</v>
      </c>
      <c r="F22" s="528">
        <v>5.0900000000000001E-2</v>
      </c>
    </row>
    <row r="23" spans="2:9">
      <c r="B23" s="616" t="s">
        <v>67</v>
      </c>
      <c r="C23" s="527">
        <v>321644</v>
      </c>
      <c r="D23" s="528">
        <v>0.12939999999999999</v>
      </c>
      <c r="E23" s="527">
        <v>321644</v>
      </c>
      <c r="F23" s="528">
        <v>0.12939999999999999</v>
      </c>
    </row>
    <row r="24" spans="2:9" hidden="1">
      <c r="B24" s="353"/>
      <c r="C24" s="157"/>
      <c r="D24" s="455">
        <f t="shared" ref="D24" si="1">C24/$C$25</f>
        <v>0</v>
      </c>
      <c r="E24" s="157"/>
      <c r="F24" s="455"/>
    </row>
    <row r="25" spans="2:9">
      <c r="B25" s="52" t="s">
        <v>25</v>
      </c>
      <c r="C25" s="88">
        <f>SUM(C19:C24)</f>
        <v>2485775</v>
      </c>
      <c r="D25" s="452">
        <f>SUM(D19:D24)</f>
        <v>1</v>
      </c>
      <c r="E25" s="88">
        <f>SUM(E19:E24)</f>
        <v>2485775</v>
      </c>
      <c r="F25" s="452">
        <f>SUM(F19:F24)</f>
        <v>1</v>
      </c>
    </row>
    <row r="26" spans="2:9">
      <c r="B26" s="51"/>
      <c r="C26" s="460"/>
      <c r="D26" s="508"/>
      <c r="E26" s="460"/>
      <c r="F26" s="508"/>
    </row>
    <row r="27" spans="2:9">
      <c r="B27" s="9" t="s">
        <v>866</v>
      </c>
      <c r="C27" s="402"/>
      <c r="D27" s="402"/>
      <c r="E27" s="402"/>
    </row>
    <row r="29" spans="2:9" ht="48.75" customHeight="1">
      <c r="B29" s="141" t="s">
        <v>249</v>
      </c>
      <c r="C29" s="400" t="s">
        <v>74</v>
      </c>
      <c r="D29" s="400" t="s">
        <v>75</v>
      </c>
      <c r="E29" s="400" t="s">
        <v>419</v>
      </c>
      <c r="F29" s="70" t="s">
        <v>248</v>
      </c>
      <c r="G29" s="400" t="s">
        <v>76</v>
      </c>
      <c r="H29" s="400" t="s">
        <v>77</v>
      </c>
      <c r="I29" s="99" t="s">
        <v>245</v>
      </c>
    </row>
    <row r="30" spans="2:9">
      <c r="B30" s="353" t="s">
        <v>543</v>
      </c>
      <c r="C30" s="519" t="s">
        <v>544</v>
      </c>
      <c r="D30" s="519"/>
      <c r="E30" s="157">
        <v>2000000</v>
      </c>
      <c r="F30" s="520">
        <v>0.1</v>
      </c>
      <c r="G30" s="157">
        <f>E30*F30</f>
        <v>200000</v>
      </c>
      <c r="H30" s="200"/>
      <c r="I30" s="309"/>
    </row>
    <row r="31" spans="2:9">
      <c r="B31" s="353" t="s">
        <v>545</v>
      </c>
      <c r="C31" s="519" t="s">
        <v>544</v>
      </c>
      <c r="D31" s="521"/>
      <c r="E31" s="157">
        <v>215500</v>
      </c>
      <c r="F31" s="520">
        <v>0.1</v>
      </c>
      <c r="G31" s="157">
        <f t="shared" ref="G31:G35" si="2">E31*F31</f>
        <v>21550</v>
      </c>
      <c r="H31" s="200"/>
      <c r="I31" s="309"/>
    </row>
    <row r="32" spans="2:9">
      <c r="B32" s="353" t="s">
        <v>584</v>
      </c>
      <c r="C32" s="519" t="s">
        <v>544</v>
      </c>
      <c r="D32" s="522"/>
      <c r="E32" s="157">
        <v>31741</v>
      </c>
      <c r="F32" s="520">
        <v>0.1</v>
      </c>
      <c r="G32" s="157">
        <f t="shared" si="2"/>
        <v>3174.1000000000004</v>
      </c>
      <c r="H32" s="200"/>
      <c r="I32" s="309"/>
    </row>
    <row r="33" spans="2:9">
      <c r="B33" s="353" t="s">
        <v>585</v>
      </c>
      <c r="C33" s="519" t="s">
        <v>544</v>
      </c>
      <c r="D33" s="522"/>
      <c r="E33" s="157">
        <v>44310</v>
      </c>
      <c r="F33" s="520">
        <v>0.1</v>
      </c>
      <c r="G33" s="157">
        <f t="shared" si="2"/>
        <v>4431</v>
      </c>
      <c r="H33" s="200"/>
      <c r="I33" s="309"/>
    </row>
    <row r="34" spans="2:9">
      <c r="B34" s="353" t="s">
        <v>694</v>
      </c>
      <c r="C34" s="519" t="s">
        <v>544</v>
      </c>
      <c r="D34" s="522"/>
      <c r="E34" s="157">
        <v>81440</v>
      </c>
      <c r="F34" s="520">
        <v>0.1</v>
      </c>
      <c r="G34" s="157">
        <f t="shared" si="2"/>
        <v>8144</v>
      </c>
      <c r="H34" s="200"/>
      <c r="I34" s="309"/>
    </row>
    <row r="35" spans="2:9">
      <c r="B35" s="353" t="s">
        <v>695</v>
      </c>
      <c r="C35" s="519" t="s">
        <v>544</v>
      </c>
      <c r="D35" s="522"/>
      <c r="E35" s="157">
        <v>112784</v>
      </c>
      <c r="F35" s="520">
        <v>0.1</v>
      </c>
      <c r="G35" s="157">
        <f t="shared" si="2"/>
        <v>11278.400000000001</v>
      </c>
      <c r="H35" s="200"/>
      <c r="I35" s="309"/>
    </row>
    <row r="36" spans="2:9">
      <c r="C36" s="10"/>
      <c r="D36" s="142"/>
      <c r="E36" s="146"/>
      <c r="G36" s="304"/>
      <c r="H36" s="10"/>
    </row>
    <row r="37" spans="2:9">
      <c r="B37" s="7"/>
      <c r="C37" s="7"/>
      <c r="D37" s="7"/>
      <c r="E37" s="7"/>
      <c r="F37" s="7"/>
      <c r="G37" s="10"/>
    </row>
    <row r="38" spans="2:9">
      <c r="B38" s="11" t="s">
        <v>185</v>
      </c>
      <c r="C38" s="11"/>
      <c r="D38" s="11"/>
      <c r="E38" s="11"/>
      <c r="F38" s="11"/>
    </row>
    <row r="39" spans="2:9">
      <c r="B39" s="11"/>
      <c r="C39" s="11"/>
      <c r="D39" s="11"/>
      <c r="E39" s="11"/>
      <c r="F39" s="11"/>
    </row>
    <row r="40" spans="2:9" ht="20.399999999999999">
      <c r="B40" s="141" t="s">
        <v>73</v>
      </c>
      <c r="C40" s="400" t="s">
        <v>419</v>
      </c>
      <c r="D40" s="400" t="s">
        <v>78</v>
      </c>
      <c r="E40" s="400" t="s">
        <v>79</v>
      </c>
      <c r="F40" s="400" t="s">
        <v>80</v>
      </c>
    </row>
    <row r="41" spans="2:9">
      <c r="B41" s="353" t="s">
        <v>623</v>
      </c>
      <c r="C41" s="527">
        <v>1504071</v>
      </c>
      <c r="D41" s="528">
        <v>0.60509999999999997</v>
      </c>
      <c r="E41" s="527">
        <v>1504071</v>
      </c>
      <c r="F41" s="528">
        <v>0.60509999999999997</v>
      </c>
    </row>
    <row r="42" spans="2:9">
      <c r="B42" s="353" t="s">
        <v>727</v>
      </c>
      <c r="C42" s="527">
        <v>371365</v>
      </c>
      <c r="D42" s="528">
        <v>0.14940000000000001</v>
      </c>
      <c r="E42" s="527">
        <v>371365</v>
      </c>
      <c r="F42" s="528">
        <v>0.14940000000000001</v>
      </c>
    </row>
    <row r="43" spans="2:9">
      <c r="B43" s="353" t="s">
        <v>728</v>
      </c>
      <c r="C43" s="527">
        <v>135580</v>
      </c>
      <c r="D43" s="528">
        <v>5.45E-2</v>
      </c>
      <c r="E43" s="527">
        <v>135580</v>
      </c>
      <c r="F43" s="528">
        <v>5.45E-2</v>
      </c>
    </row>
    <row r="44" spans="2:9">
      <c r="B44" s="353" t="s">
        <v>67</v>
      </c>
      <c r="C44" s="527">
        <v>474759</v>
      </c>
      <c r="D44" s="528">
        <v>0.191</v>
      </c>
      <c r="E44" s="527">
        <v>474759</v>
      </c>
      <c r="F44" s="528">
        <v>0.191</v>
      </c>
    </row>
    <row r="45" spans="2:9" hidden="1">
      <c r="B45" s="353"/>
      <c r="C45" s="157"/>
      <c r="D45" s="455">
        <f t="shared" ref="D45:D46" si="3">C45/$C$25</f>
        <v>0</v>
      </c>
      <c r="E45" s="157"/>
      <c r="F45" s="455"/>
    </row>
    <row r="46" spans="2:9" hidden="1">
      <c r="B46" s="353"/>
      <c r="C46" s="157"/>
      <c r="D46" s="455">
        <f t="shared" si="3"/>
        <v>0</v>
      </c>
      <c r="E46" s="157"/>
      <c r="F46" s="455"/>
    </row>
    <row r="47" spans="2:9">
      <c r="B47" s="52" t="s">
        <v>25</v>
      </c>
      <c r="C47" s="88">
        <f>SUM(C41:C46)</f>
        <v>2485775</v>
      </c>
      <c r="D47" s="452">
        <f>SUM(D41:D46)</f>
        <v>1</v>
      </c>
      <c r="E47" s="88">
        <f>SUM(E41:E46)</f>
        <v>2485775</v>
      </c>
      <c r="F47" s="452">
        <f>SUM(F41:F46)</f>
        <v>1</v>
      </c>
    </row>
    <row r="49" spans="2:5">
      <c r="B49" s="51" t="s">
        <v>186</v>
      </c>
    </row>
    <row r="51" spans="2:5" ht="20.399999999999999">
      <c r="B51" s="141" t="s">
        <v>294</v>
      </c>
      <c r="C51" s="400" t="str">
        <f>'Dane podstawowe'!B7</f>
        <v>01.01.2022-31.12.2022</v>
      </c>
      <c r="D51" s="400" t="str">
        <f>'Dane podstawowe'!B12</f>
        <v>01.01.2021-31.12.2021</v>
      </c>
    </row>
    <row r="52" spans="2:5">
      <c r="B52" s="56" t="s">
        <v>187</v>
      </c>
      <c r="C52" s="127">
        <f>D60</f>
        <v>248578</v>
      </c>
      <c r="D52" s="127">
        <v>248578</v>
      </c>
    </row>
    <row r="53" spans="2:5" s="86" customFormat="1">
      <c r="B53" s="159" t="s">
        <v>632</v>
      </c>
      <c r="C53" s="227">
        <f>SUM(C54:C55)</f>
        <v>0</v>
      </c>
      <c r="D53" s="227">
        <f>SUM(D54:D55)</f>
        <v>0</v>
      </c>
    </row>
    <row r="54" spans="2:5" hidden="1">
      <c r="B54" s="310" t="s">
        <v>696</v>
      </c>
      <c r="C54" s="157">
        <v>0</v>
      </c>
      <c r="D54" s="157">
        <v>0</v>
      </c>
    </row>
    <row r="55" spans="2:5" hidden="1">
      <c r="B55" s="310" t="s">
        <v>697</v>
      </c>
      <c r="C55" s="157">
        <v>0</v>
      </c>
      <c r="D55" s="157">
        <v>0</v>
      </c>
    </row>
    <row r="56" spans="2:5" s="86" customFormat="1">
      <c r="B56" s="159" t="s">
        <v>633</v>
      </c>
      <c r="C56" s="227">
        <f>SUM(C57:C58)</f>
        <v>0</v>
      </c>
      <c r="D56" s="227">
        <f>SUM(D57:D58)</f>
        <v>0</v>
      </c>
    </row>
    <row r="57" spans="2:5" hidden="1">
      <c r="B57" s="140" t="s">
        <v>247</v>
      </c>
      <c r="C57" s="157"/>
      <c r="D57" s="157"/>
    </row>
    <row r="58" spans="2:5" hidden="1">
      <c r="B58" s="140" t="s">
        <v>247</v>
      </c>
      <c r="C58" s="157"/>
      <c r="D58" s="157"/>
    </row>
    <row r="59" spans="2:5" hidden="1">
      <c r="B59" s="203" t="s">
        <v>246</v>
      </c>
      <c r="C59" s="224"/>
      <c r="D59" s="224"/>
    </row>
    <row r="60" spans="2:5">
      <c r="B60" s="61" t="s">
        <v>188</v>
      </c>
      <c r="C60" s="162">
        <f>SUM(C52:C53,-C56)</f>
        <v>248578</v>
      </c>
      <c r="D60" s="162">
        <f>SUM(D52:D53,-D56)</f>
        <v>248578</v>
      </c>
    </row>
    <row r="61" spans="2:5">
      <c r="C61" s="355">
        <f>[8]Pasywa!D5-'[8]NOTA  29,30,31,32- Kapitały'!C78</f>
        <v>0</v>
      </c>
      <c r="D61" s="355">
        <f>[8]Pasywa!E5-'[8]NOTA  29,30,31,32- Kapitały'!D78</f>
        <v>0</v>
      </c>
    </row>
    <row r="63" spans="2:5">
      <c r="E63" s="402"/>
    </row>
    <row r="64" spans="2:5" ht="13.2">
      <c r="B64" s="381" t="s">
        <v>918</v>
      </c>
      <c r="E64" s="402"/>
    </row>
    <row r="65" spans="2:7">
      <c r="B65" s="51"/>
      <c r="E65" s="402"/>
    </row>
    <row r="66" spans="2:7">
      <c r="B66" s="143"/>
      <c r="C66" s="416">
        <f>'Dane podstawowe'!B9</f>
        <v>44926</v>
      </c>
      <c r="D66" s="416">
        <f>'Dane podstawowe'!B14</f>
        <v>44561</v>
      </c>
    </row>
    <row r="67" spans="2:7" ht="20.399999999999999">
      <c r="B67" s="46" t="s">
        <v>903</v>
      </c>
      <c r="C67" s="75">
        <v>4526727</v>
      </c>
      <c r="D67" s="75">
        <v>4526727</v>
      </c>
    </row>
    <row r="68" spans="2:7" hidden="1">
      <c r="B68" s="110" t="s">
        <v>250</v>
      </c>
      <c r="C68" s="75"/>
      <c r="D68" s="75">
        <v>0</v>
      </c>
    </row>
    <row r="69" spans="2:7">
      <c r="B69" s="110" t="s">
        <v>901</v>
      </c>
      <c r="C69" s="75">
        <v>9905870</v>
      </c>
      <c r="D69" s="75">
        <v>10734047</v>
      </c>
      <c r="G69" s="355"/>
    </row>
    <row r="70" spans="2:7" hidden="1">
      <c r="B70" s="110" t="s">
        <v>168</v>
      </c>
      <c r="C70" s="75">
        <v>0</v>
      </c>
      <c r="D70" s="75">
        <v>0</v>
      </c>
    </row>
    <row r="71" spans="2:7">
      <c r="B71" s="40" t="s">
        <v>474</v>
      </c>
      <c r="C71" s="45">
        <f>SUM(C67:C70)</f>
        <v>14432597</v>
      </c>
      <c r="D71" s="45">
        <f>SUM(D67:D70)</f>
        <v>15260774</v>
      </c>
    </row>
    <row r="72" spans="2:7">
      <c r="B72" s="53"/>
      <c r="C72" s="367"/>
      <c r="D72" s="367"/>
      <c r="E72" s="402"/>
    </row>
    <row r="73" spans="2:7" ht="10.5" customHeight="1"/>
    <row r="74" spans="2:7">
      <c r="B74" s="106" t="s">
        <v>904</v>
      </c>
    </row>
    <row r="76" spans="2:7" ht="40.799999999999997">
      <c r="B76" s="70" t="s">
        <v>294</v>
      </c>
      <c r="C76" s="190" t="s">
        <v>384</v>
      </c>
      <c r="D76" s="70" t="s">
        <v>251</v>
      </c>
      <c r="E76" s="70" t="s">
        <v>25</v>
      </c>
    </row>
    <row r="77" spans="2:7">
      <c r="B77" s="425">
        <v>44562</v>
      </c>
      <c r="C77" s="127">
        <f>C116</f>
        <v>4526727</v>
      </c>
      <c r="D77" s="127">
        <f>D116</f>
        <v>10734047</v>
      </c>
      <c r="E77" s="127">
        <f t="shared" ref="E77:E94" si="4">SUM(C77:D77)</f>
        <v>15260774</v>
      </c>
    </row>
    <row r="78" spans="2:7" s="86" customFormat="1">
      <c r="B78" s="159" t="s">
        <v>255</v>
      </c>
      <c r="C78" s="227">
        <f>SUM(C79:C84)</f>
        <v>0</v>
      </c>
      <c r="D78" s="227">
        <f>SUM(D79:D83)</f>
        <v>141858</v>
      </c>
      <c r="E78" s="127">
        <f t="shared" si="4"/>
        <v>141858</v>
      </c>
    </row>
    <row r="79" spans="2:7">
      <c r="B79" s="87" t="s">
        <v>532</v>
      </c>
      <c r="C79" s="157">
        <v>0</v>
      </c>
      <c r="D79" s="157">
        <v>21161</v>
      </c>
      <c r="E79" s="157">
        <f t="shared" si="4"/>
        <v>21161</v>
      </c>
    </row>
    <row r="80" spans="2:7">
      <c r="B80" s="87" t="s">
        <v>1060</v>
      </c>
      <c r="C80" s="157">
        <v>0</v>
      </c>
      <c r="D80" s="157">
        <v>120697</v>
      </c>
      <c r="E80" s="157">
        <f t="shared" si="4"/>
        <v>120697</v>
      </c>
    </row>
    <row r="81" spans="2:5" hidden="1">
      <c r="B81" s="87" t="s">
        <v>252</v>
      </c>
      <c r="C81" s="157">
        <v>0</v>
      </c>
      <c r="D81" s="157">
        <v>0</v>
      </c>
      <c r="E81" s="157">
        <f t="shared" si="4"/>
        <v>0</v>
      </c>
    </row>
    <row r="82" spans="2:5" hidden="1">
      <c r="B82" s="87" t="s">
        <v>254</v>
      </c>
      <c r="C82" s="157">
        <v>0</v>
      </c>
      <c r="D82" s="200">
        <v>0</v>
      </c>
      <c r="E82" s="157">
        <f t="shared" si="4"/>
        <v>0</v>
      </c>
    </row>
    <row r="83" spans="2:5" hidden="1">
      <c r="B83" s="87" t="s">
        <v>391</v>
      </c>
      <c r="C83" s="157">
        <v>0</v>
      </c>
      <c r="D83" s="200">
        <v>0</v>
      </c>
      <c r="E83" s="157">
        <f t="shared" si="4"/>
        <v>0</v>
      </c>
    </row>
    <row r="84" spans="2:5" hidden="1">
      <c r="B84" s="87" t="s">
        <v>531</v>
      </c>
      <c r="C84" s="157">
        <v>0</v>
      </c>
      <c r="D84" s="200">
        <v>0</v>
      </c>
      <c r="E84" s="157">
        <f t="shared" si="4"/>
        <v>0</v>
      </c>
    </row>
    <row r="85" spans="2:5" s="86" customFormat="1">
      <c r="B85" s="159" t="s">
        <v>256</v>
      </c>
      <c r="C85" s="227">
        <f>SUM(C86:C94)</f>
        <v>0</v>
      </c>
      <c r="D85" s="227">
        <f>SUM(D86:D94)</f>
        <v>970035</v>
      </c>
      <c r="E85" s="127">
        <f t="shared" si="4"/>
        <v>970035</v>
      </c>
    </row>
    <row r="86" spans="2:5">
      <c r="B86" s="87" t="s">
        <v>1058</v>
      </c>
      <c r="C86" s="157">
        <v>0</v>
      </c>
      <c r="D86" s="157">
        <v>944527</v>
      </c>
      <c r="E86" s="157">
        <f t="shared" ref="E86:E87" si="5">SUM(C86:D86)</f>
        <v>944527</v>
      </c>
    </row>
    <row r="87" spans="2:5">
      <c r="B87" s="87" t="s">
        <v>1059</v>
      </c>
      <c r="C87" s="157">
        <v>0</v>
      </c>
      <c r="D87" s="157">
        <v>25508</v>
      </c>
      <c r="E87" s="157">
        <f t="shared" si="5"/>
        <v>25508</v>
      </c>
    </row>
    <row r="88" spans="2:5" ht="20.399999999999999" hidden="1">
      <c r="B88" s="87" t="s">
        <v>707</v>
      </c>
      <c r="C88" s="157">
        <v>0</v>
      </c>
      <c r="D88" s="157">
        <v>0</v>
      </c>
      <c r="E88" s="157">
        <f t="shared" si="4"/>
        <v>0</v>
      </c>
    </row>
    <row r="89" spans="2:5" hidden="1">
      <c r="B89" s="87" t="s">
        <v>252</v>
      </c>
      <c r="C89" s="157">
        <v>0</v>
      </c>
      <c r="D89" s="157">
        <v>0</v>
      </c>
      <c r="E89" s="157">
        <f t="shared" si="4"/>
        <v>0</v>
      </c>
    </row>
    <row r="90" spans="2:5" hidden="1">
      <c r="B90" s="87" t="s">
        <v>394</v>
      </c>
      <c r="C90" s="157">
        <v>0</v>
      </c>
      <c r="D90" s="157">
        <v>0</v>
      </c>
      <c r="E90" s="157">
        <f t="shared" si="4"/>
        <v>0</v>
      </c>
    </row>
    <row r="91" spans="2:5" ht="15" hidden="1" customHeight="1">
      <c r="B91" s="87" t="s">
        <v>253</v>
      </c>
      <c r="C91" s="157">
        <v>0</v>
      </c>
      <c r="D91" s="157">
        <v>0</v>
      </c>
      <c r="E91" s="157">
        <f t="shared" si="4"/>
        <v>0</v>
      </c>
    </row>
    <row r="92" spans="2:5" hidden="1">
      <c r="B92" s="87" t="s">
        <v>252</v>
      </c>
      <c r="C92" s="157">
        <v>0</v>
      </c>
      <c r="D92" s="157">
        <v>0</v>
      </c>
      <c r="E92" s="157">
        <f t="shared" si="4"/>
        <v>0</v>
      </c>
    </row>
    <row r="93" spans="2:5" hidden="1">
      <c r="B93" s="87" t="s">
        <v>254</v>
      </c>
      <c r="C93" s="157">
        <v>0</v>
      </c>
      <c r="D93" s="157">
        <v>0</v>
      </c>
      <c r="E93" s="157">
        <f t="shared" si="4"/>
        <v>0</v>
      </c>
    </row>
    <row r="94" spans="2:5" hidden="1">
      <c r="B94" s="87" t="s">
        <v>391</v>
      </c>
      <c r="C94" s="157">
        <v>0</v>
      </c>
      <c r="D94" s="157">
        <v>0</v>
      </c>
      <c r="E94" s="157">
        <f t="shared" si="4"/>
        <v>0</v>
      </c>
    </row>
    <row r="95" spans="2:5">
      <c r="B95" s="425">
        <v>44926</v>
      </c>
      <c r="C95" s="127">
        <f>C77+C78-C85</f>
        <v>4526727</v>
      </c>
      <c r="D95" s="127">
        <f>D77+D78-D85</f>
        <v>9905870</v>
      </c>
      <c r="E95" s="127">
        <f>E77+E78-E85</f>
        <v>14432597</v>
      </c>
    </row>
    <row r="96" spans="2:5">
      <c r="B96" s="425">
        <v>44197</v>
      </c>
      <c r="C96" s="127">
        <v>4526727</v>
      </c>
      <c r="D96" s="127">
        <v>10723059</v>
      </c>
      <c r="E96" s="127">
        <f t="shared" ref="E96:E107" si="6">SUM(C96:D96)</f>
        <v>15249786</v>
      </c>
    </row>
    <row r="97" spans="2:7" s="86" customFormat="1">
      <c r="B97" s="159" t="s">
        <v>255</v>
      </c>
      <c r="C97" s="227">
        <f>SUM(C98:C105)</f>
        <v>0</v>
      </c>
      <c r="D97" s="227">
        <f>SUM(D98:D105)</f>
        <v>10988</v>
      </c>
      <c r="E97" s="127">
        <f t="shared" si="6"/>
        <v>10988</v>
      </c>
    </row>
    <row r="98" spans="2:7">
      <c r="B98" s="87" t="s">
        <v>532</v>
      </c>
      <c r="C98" s="157">
        <v>0</v>
      </c>
      <c r="D98" s="157">
        <v>10988</v>
      </c>
      <c r="E98" s="157">
        <f t="shared" si="6"/>
        <v>10988</v>
      </c>
    </row>
    <row r="99" spans="2:7" hidden="1">
      <c r="B99" s="87" t="s">
        <v>630</v>
      </c>
      <c r="C99" s="157"/>
      <c r="D99" s="157">
        <v>0</v>
      </c>
      <c r="E99" s="157">
        <f t="shared" si="6"/>
        <v>0</v>
      </c>
    </row>
    <row r="100" spans="2:7" hidden="1">
      <c r="B100" s="87" t="s">
        <v>132</v>
      </c>
      <c r="C100" s="157"/>
      <c r="D100" s="157">
        <v>0</v>
      </c>
      <c r="E100" s="157">
        <f t="shared" si="6"/>
        <v>0</v>
      </c>
    </row>
    <row r="101" spans="2:7" ht="20.399999999999999" hidden="1">
      <c r="B101" s="87" t="s">
        <v>253</v>
      </c>
      <c r="C101" s="157"/>
      <c r="D101" s="157">
        <v>0</v>
      </c>
      <c r="E101" s="157">
        <f t="shared" si="6"/>
        <v>0</v>
      </c>
    </row>
    <row r="102" spans="2:7" hidden="1">
      <c r="B102" s="87" t="s">
        <v>252</v>
      </c>
      <c r="C102" s="157"/>
      <c r="D102" s="157">
        <v>0</v>
      </c>
      <c r="E102" s="157">
        <f t="shared" si="6"/>
        <v>0</v>
      </c>
    </row>
    <row r="103" spans="2:7" hidden="1">
      <c r="B103" s="87" t="s">
        <v>254</v>
      </c>
      <c r="C103" s="157"/>
      <c r="D103" s="157">
        <v>0</v>
      </c>
      <c r="E103" s="157">
        <f t="shared" si="6"/>
        <v>0</v>
      </c>
    </row>
    <row r="104" spans="2:7" hidden="1">
      <c r="B104" s="87" t="s">
        <v>391</v>
      </c>
      <c r="C104" s="157"/>
      <c r="D104" s="157">
        <v>0</v>
      </c>
      <c r="E104" s="157">
        <f t="shared" si="6"/>
        <v>0</v>
      </c>
    </row>
    <row r="105" spans="2:7" hidden="1">
      <c r="B105" s="87" t="s">
        <v>531</v>
      </c>
      <c r="C105" s="157"/>
      <c r="D105" s="157">
        <v>0</v>
      </c>
      <c r="E105" s="157">
        <f t="shared" si="6"/>
        <v>0</v>
      </c>
    </row>
    <row r="106" spans="2:7" s="86" customFormat="1">
      <c r="B106" s="159" t="s">
        <v>256</v>
      </c>
      <c r="C106" s="227">
        <f>SUM(C107:C115)</f>
        <v>0</v>
      </c>
      <c r="D106" s="227">
        <f>SUM(D107:D115)</f>
        <v>0</v>
      </c>
      <c r="E106" s="127">
        <f t="shared" si="6"/>
        <v>0</v>
      </c>
    </row>
    <row r="107" spans="2:7" hidden="1">
      <c r="B107" s="87" t="s">
        <v>629</v>
      </c>
      <c r="C107" s="157">
        <v>0</v>
      </c>
      <c r="D107" s="157">
        <v>0</v>
      </c>
      <c r="E107" s="157">
        <f t="shared" si="6"/>
        <v>0</v>
      </c>
      <c r="G107" s="86"/>
    </row>
    <row r="108" spans="2:7" hidden="1">
      <c r="B108" s="87" t="s">
        <v>631</v>
      </c>
      <c r="C108" s="157"/>
      <c r="D108" s="157">
        <v>0</v>
      </c>
      <c r="E108" s="157"/>
      <c r="G108" s="86"/>
    </row>
    <row r="109" spans="2:7" hidden="1">
      <c r="B109" s="87" t="s">
        <v>531</v>
      </c>
      <c r="C109" s="157">
        <v>0</v>
      </c>
      <c r="D109" s="157">
        <v>0</v>
      </c>
      <c r="E109" s="157">
        <f t="shared" ref="E109:E116" si="7">SUM(C109:D109)</f>
        <v>0</v>
      </c>
      <c r="G109" s="86"/>
    </row>
    <row r="110" spans="2:7" hidden="1">
      <c r="B110" s="87" t="s">
        <v>252</v>
      </c>
      <c r="C110" s="157">
        <v>0</v>
      </c>
      <c r="D110" s="157">
        <v>0</v>
      </c>
      <c r="E110" s="157">
        <f t="shared" si="7"/>
        <v>0</v>
      </c>
      <c r="G110" s="86"/>
    </row>
    <row r="111" spans="2:7" hidden="1">
      <c r="B111" s="87" t="s">
        <v>394</v>
      </c>
      <c r="C111" s="157">
        <v>0</v>
      </c>
      <c r="D111" s="157">
        <v>0</v>
      </c>
      <c r="E111" s="157">
        <f t="shared" si="7"/>
        <v>0</v>
      </c>
      <c r="G111" s="86"/>
    </row>
    <row r="112" spans="2:7" ht="14.4" hidden="1" customHeight="1">
      <c r="B112" s="87" t="s">
        <v>253</v>
      </c>
      <c r="C112" s="157">
        <v>0</v>
      </c>
      <c r="D112" s="157">
        <v>0</v>
      </c>
      <c r="E112" s="157">
        <f t="shared" si="7"/>
        <v>0</v>
      </c>
      <c r="G112" s="86"/>
    </row>
    <row r="113" spans="2:7" hidden="1">
      <c r="B113" s="87" t="s">
        <v>252</v>
      </c>
      <c r="C113" s="157">
        <v>0</v>
      </c>
      <c r="D113" s="157">
        <v>0</v>
      </c>
      <c r="E113" s="157">
        <f t="shared" si="7"/>
        <v>0</v>
      </c>
      <c r="G113" s="86"/>
    </row>
    <row r="114" spans="2:7" hidden="1">
      <c r="B114" s="87" t="s">
        <v>254</v>
      </c>
      <c r="C114" s="157">
        <v>0</v>
      </c>
      <c r="D114" s="157">
        <v>0</v>
      </c>
      <c r="E114" s="157">
        <f t="shared" si="7"/>
        <v>0</v>
      </c>
      <c r="G114" s="86"/>
    </row>
    <row r="115" spans="2:7" hidden="1">
      <c r="B115" s="87" t="s">
        <v>391</v>
      </c>
      <c r="C115" s="157">
        <v>0</v>
      </c>
      <c r="D115" s="200">
        <v>0</v>
      </c>
      <c r="E115" s="157">
        <f t="shared" si="7"/>
        <v>0</v>
      </c>
      <c r="G115" s="86"/>
    </row>
    <row r="116" spans="2:7">
      <c r="B116" s="425">
        <v>44561</v>
      </c>
      <c r="C116" s="127">
        <f>C96+C97-C106</f>
        <v>4526727</v>
      </c>
      <c r="D116" s="127">
        <f>D96+D97-D106</f>
        <v>10734047</v>
      </c>
      <c r="E116" s="127">
        <f t="shared" si="7"/>
        <v>15260774</v>
      </c>
      <c r="G116" s="86"/>
    </row>
    <row r="117" spans="2:7">
      <c r="E117" s="426"/>
      <c r="G117" s="86"/>
    </row>
    <row r="118" spans="2:7">
      <c r="E118" s="426"/>
      <c r="G118" s="86"/>
    </row>
    <row r="119" spans="2:7">
      <c r="G119" s="86"/>
    </row>
    <row r="120" spans="2:7" ht="13.2">
      <c r="B120" s="381" t="s">
        <v>919</v>
      </c>
    </row>
    <row r="122" spans="2:7">
      <c r="B122" s="124" t="s">
        <v>294</v>
      </c>
      <c r="C122" s="416">
        <f>C66</f>
        <v>44926</v>
      </c>
      <c r="D122" s="416">
        <f>D66</f>
        <v>44561</v>
      </c>
    </row>
    <row r="123" spans="2:7">
      <c r="B123" s="50" t="s">
        <v>169</v>
      </c>
      <c r="C123" s="89">
        <f>D129</f>
        <v>221644</v>
      </c>
      <c r="D123" s="89">
        <v>132400</v>
      </c>
    </row>
    <row r="124" spans="2:7" hidden="1">
      <c r="B124" s="110" t="s">
        <v>170</v>
      </c>
      <c r="C124" s="456">
        <v>0</v>
      </c>
      <c r="D124" s="312">
        <v>0</v>
      </c>
    </row>
    <row r="125" spans="2:7">
      <c r="B125" s="110" t="s">
        <v>759</v>
      </c>
      <c r="C125" s="456">
        <v>0</v>
      </c>
      <c r="D125" s="456">
        <v>0</v>
      </c>
    </row>
    <row r="126" spans="2:7" hidden="1">
      <c r="B126" s="110" t="s">
        <v>171</v>
      </c>
      <c r="C126" s="456">
        <v>0</v>
      </c>
      <c r="D126" s="456">
        <v>0</v>
      </c>
    </row>
    <row r="127" spans="2:7" ht="20.399999999999999">
      <c r="B127" s="46" t="s">
        <v>172</v>
      </c>
      <c r="C127" s="456">
        <v>-120697</v>
      </c>
      <c r="D127" s="456">
        <v>58634</v>
      </c>
    </row>
    <row r="128" spans="2:7">
      <c r="B128" s="110" t="s">
        <v>173</v>
      </c>
      <c r="C128" s="456">
        <v>83329</v>
      </c>
      <c r="D128" s="456">
        <v>30610</v>
      </c>
    </row>
    <row r="129" spans="2:4">
      <c r="B129" s="40" t="s">
        <v>174</v>
      </c>
      <c r="C129" s="89">
        <f>SUM(C123:C128)</f>
        <v>184276</v>
      </c>
      <c r="D129" s="89">
        <f>SUM(D123:D128)</f>
        <v>221644</v>
      </c>
    </row>
    <row r="130" spans="2:4">
      <c r="C130" s="301">
        <f>Pasywa!D11-C129</f>
        <v>0</v>
      </c>
      <c r="D130" s="301">
        <f>Pasywa!E11-D129</f>
        <v>0</v>
      </c>
    </row>
  </sheetData>
  <mergeCells count="2">
    <mergeCell ref="C4:E4"/>
    <mergeCell ref="B5:C5"/>
  </mergeCells>
  <phoneticPr fontId="37" type="noConversion"/>
  <pageMargins left="0.75" right="0.75" top="1" bottom="1" header="0.5" footer="0.5"/>
  <pageSetup paperSize="9" scale="60" fitToHeight="2" orientation="portrait" r:id="rId1"/>
  <headerFooter alignWithMargins="0"/>
  <rowBreaks count="1" manualBreakCount="1">
    <brk id="73" min="1" max="8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/>
  <dimension ref="A1:J75"/>
  <sheetViews>
    <sheetView showGridLines="0" view="pageBreakPreview" zoomScaleNormal="100" zoomScaleSheetLayoutView="100" workbookViewId="0">
      <selection activeCell="A64" sqref="A64:E71"/>
    </sheetView>
  </sheetViews>
  <sheetFormatPr defaultColWidth="9.33203125" defaultRowHeight="13.2"/>
  <cols>
    <col min="1" max="1" width="41.44140625" customWidth="1"/>
    <col min="2" max="2" width="12.5546875" customWidth="1"/>
    <col min="3" max="4" width="13" customWidth="1"/>
    <col min="5" max="5" width="12.6640625" customWidth="1"/>
    <col min="6" max="6" width="16.6640625" customWidth="1"/>
  </cols>
  <sheetData>
    <row r="1" spans="1:10">
      <c r="A1" s="38"/>
    </row>
    <row r="2" spans="1:10" s="44" customFormat="1">
      <c r="A2" s="381" t="s">
        <v>920</v>
      </c>
    </row>
    <row r="3" spans="1:10" s="44" customFormat="1" ht="10.199999999999999">
      <c r="A3" s="404"/>
      <c r="B3" s="404"/>
      <c r="C3" s="404"/>
      <c r="D3" s="404"/>
      <c r="E3" s="404"/>
      <c r="F3" s="404"/>
      <c r="G3" s="404"/>
      <c r="H3" s="139"/>
      <c r="I3" s="139"/>
      <c r="J3" s="139"/>
    </row>
    <row r="4" spans="1:10" s="44" customFormat="1" ht="10.199999999999999"/>
    <row r="5" spans="1:10" s="6" customFormat="1" ht="10.199999999999999">
      <c r="A5" s="124" t="s">
        <v>294</v>
      </c>
      <c r="B5" s="416">
        <f>Aktywa!D2</f>
        <v>44926</v>
      </c>
      <c r="C5" s="416">
        <v>44561</v>
      </c>
      <c r="D5" s="44"/>
    </row>
    <row r="6" spans="1:10" s="44" customFormat="1" ht="10.199999999999999">
      <c r="A6" s="87" t="s">
        <v>257</v>
      </c>
      <c r="B6" s="157">
        <v>1105460</v>
      </c>
      <c r="C6" s="157">
        <v>40374</v>
      </c>
      <c r="F6" s="355">
        <f>C6-B6</f>
        <v>-1065086</v>
      </c>
    </row>
    <row r="7" spans="1:10" s="44" customFormat="1" ht="10.199999999999999">
      <c r="A7" s="87" t="s">
        <v>258</v>
      </c>
      <c r="B7" s="157">
        <v>0</v>
      </c>
      <c r="C7" s="157">
        <v>57000</v>
      </c>
    </row>
    <row r="8" spans="1:10" s="44" customFormat="1" ht="10.199999999999999">
      <c r="A8" s="87" t="s">
        <v>81</v>
      </c>
      <c r="B8" s="157">
        <f>SUM(B9:B10)</f>
        <v>140443</v>
      </c>
      <c r="C8" s="157">
        <f>SUM(C9:C10)</f>
        <v>421671</v>
      </c>
      <c r="F8" s="51"/>
    </row>
    <row r="9" spans="1:10" s="44" customFormat="1" ht="10.199999999999999">
      <c r="A9" s="380" t="s">
        <v>734</v>
      </c>
      <c r="B9" s="157">
        <v>140443</v>
      </c>
      <c r="C9" s="157">
        <v>421671</v>
      </c>
      <c r="F9" s="355">
        <f>C9-B9</f>
        <v>281228</v>
      </c>
    </row>
    <row r="10" spans="1:10" s="44" customFormat="1" ht="10.199999999999999">
      <c r="A10" s="368" t="s">
        <v>228</v>
      </c>
      <c r="B10" s="157">
        <v>0</v>
      </c>
      <c r="C10" s="157">
        <v>0</v>
      </c>
    </row>
    <row r="11" spans="1:10" s="44" customFormat="1" ht="10.199999999999999">
      <c r="A11" s="368" t="s">
        <v>539</v>
      </c>
      <c r="B11" s="157">
        <v>13672</v>
      </c>
      <c r="C11" s="157">
        <v>27859</v>
      </c>
      <c r="F11" s="355">
        <f>C11-B11</f>
        <v>14187</v>
      </c>
    </row>
    <row r="12" spans="1:10" s="44" customFormat="1" ht="10.199999999999999" hidden="1">
      <c r="A12" s="368" t="s">
        <v>247</v>
      </c>
      <c r="B12" s="157"/>
      <c r="C12" s="157"/>
    </row>
    <row r="13" spans="1:10" s="44" customFormat="1" ht="10.199999999999999" hidden="1">
      <c r="A13" s="368" t="s">
        <v>247</v>
      </c>
      <c r="B13" s="157"/>
      <c r="C13" s="157"/>
    </row>
    <row r="14" spans="1:10" s="44" customFormat="1" ht="10.199999999999999">
      <c r="A14" s="56" t="s">
        <v>259</v>
      </c>
      <c r="B14" s="127">
        <f>SUM(B6:B13)-B10-B9</f>
        <v>1259575</v>
      </c>
      <c r="C14" s="127">
        <f>SUM(C6:C13)-C10-C9</f>
        <v>546904</v>
      </c>
    </row>
    <row r="15" spans="1:10" s="44" customFormat="1" ht="10.199999999999999">
      <c r="A15" s="380" t="s">
        <v>82</v>
      </c>
      <c r="B15" s="157">
        <v>0</v>
      </c>
      <c r="C15" s="157">
        <v>140443</v>
      </c>
    </row>
    <row r="16" spans="1:10" s="44" customFormat="1" ht="10.199999999999999">
      <c r="A16" s="380" t="s">
        <v>83</v>
      </c>
      <c r="B16" s="157">
        <v>1259575</v>
      </c>
      <c r="C16" s="157">
        <f>546904-140443</f>
        <v>406461</v>
      </c>
    </row>
    <row r="17" spans="1:3" s="44" customFormat="1" ht="10.199999999999999">
      <c r="B17" s="301">
        <f>B14-Pasywa!D13-Pasywa!D21</f>
        <v>0</v>
      </c>
      <c r="C17" s="301">
        <f>C14-Pasywa!E13-Pasywa!E21</f>
        <v>0</v>
      </c>
    </row>
    <row r="18" spans="1:3" s="44" customFormat="1" ht="10.199999999999999"/>
    <row r="19" spans="1:3" s="44" customFormat="1" ht="10.199999999999999"/>
    <row r="20" spans="1:3" s="44" customFormat="1" ht="10.199999999999999">
      <c r="A20" s="51" t="s">
        <v>842</v>
      </c>
    </row>
    <row r="21" spans="1:3" s="44" customFormat="1" ht="10.199999999999999"/>
    <row r="22" spans="1:3" s="44" customFormat="1" ht="10.199999999999999"/>
    <row r="23" spans="1:3" s="44" customFormat="1" ht="20.399999999999999">
      <c r="A23" s="420"/>
      <c r="B23" s="115" t="s">
        <v>45</v>
      </c>
    </row>
    <row r="24" spans="1:3" s="44" customFormat="1" ht="10.199999999999999">
      <c r="A24" s="50" t="s">
        <v>1024</v>
      </c>
      <c r="B24" s="551">
        <f>B59</f>
        <v>546904</v>
      </c>
    </row>
    <row r="25" spans="1:3" s="44" customFormat="1" ht="10.199999999999999">
      <c r="A25" s="497" t="s">
        <v>785</v>
      </c>
      <c r="B25" s="551">
        <f>B26+B27</f>
        <v>1065087</v>
      </c>
    </row>
    <row r="26" spans="1:3" s="44" customFormat="1" ht="10.199999999999999">
      <c r="A26" s="552" t="s">
        <v>1037</v>
      </c>
      <c r="B26" s="405">
        <v>1065087</v>
      </c>
    </row>
    <row r="27" spans="1:3" s="44" customFormat="1" ht="10.199999999999999">
      <c r="A27" s="552" t="s">
        <v>787</v>
      </c>
      <c r="B27" s="405">
        <v>0</v>
      </c>
    </row>
    <row r="28" spans="1:3" s="44" customFormat="1" ht="10.199999999999999">
      <c r="A28" s="47" t="s">
        <v>788</v>
      </c>
      <c r="B28" s="551">
        <v>0</v>
      </c>
    </row>
    <row r="29" spans="1:3" s="44" customFormat="1" ht="10.199999999999999">
      <c r="A29" s="47" t="s">
        <v>789</v>
      </c>
      <c r="B29" s="551">
        <v>186</v>
      </c>
    </row>
    <row r="30" spans="1:3" s="44" customFormat="1" ht="10.199999999999999">
      <c r="A30" s="47" t="s">
        <v>790</v>
      </c>
      <c r="B30" s="551">
        <f>B31+B32+B33+B34+B35</f>
        <v>-352602</v>
      </c>
    </row>
    <row r="31" spans="1:3" s="44" customFormat="1" ht="10.199999999999999">
      <c r="A31" s="552" t="s">
        <v>892</v>
      </c>
      <c r="B31" s="405">
        <v>0</v>
      </c>
    </row>
    <row r="32" spans="1:3" s="44" customFormat="1" ht="10.199999999999999">
      <c r="A32" s="552" t="s">
        <v>893</v>
      </c>
      <c r="B32" s="405">
        <v>-281229</v>
      </c>
    </row>
    <row r="33" spans="1:6" s="44" customFormat="1" ht="10.199999999999999">
      <c r="A33" s="552" t="s">
        <v>891</v>
      </c>
      <c r="B33" s="405">
        <v>-57000</v>
      </c>
    </row>
    <row r="34" spans="1:6" s="44" customFormat="1" ht="10.199999999999999">
      <c r="A34" s="552" t="s">
        <v>792</v>
      </c>
      <c r="B34" s="405">
        <v>-186</v>
      </c>
    </row>
    <row r="35" spans="1:6" s="44" customFormat="1" ht="10.199999999999999">
      <c r="A35" s="552" t="s">
        <v>1038</v>
      </c>
      <c r="B35" s="405">
        <v>-14187</v>
      </c>
    </row>
    <row r="36" spans="1:6" s="44" customFormat="1" ht="10.199999999999999">
      <c r="A36" s="47" t="s">
        <v>794</v>
      </c>
      <c r="B36" s="551">
        <v>0</v>
      </c>
    </row>
    <row r="37" spans="1:6" s="44" customFormat="1" ht="10.199999999999999">
      <c r="A37" s="47" t="s">
        <v>795</v>
      </c>
      <c r="B37" s="551">
        <v>0</v>
      </c>
    </row>
    <row r="38" spans="1:6" s="44" customFormat="1" ht="10.199999999999999">
      <c r="A38" s="50" t="s">
        <v>1025</v>
      </c>
      <c r="B38" s="551">
        <f>B24+B25+B28+B29+B30+B36+B37</f>
        <v>1259575</v>
      </c>
      <c r="F38" s="355">
        <f>B38-B14</f>
        <v>0</v>
      </c>
    </row>
    <row r="39" spans="1:6" s="44" customFormat="1">
      <c r="A39"/>
      <c r="B39"/>
    </row>
    <row r="40" spans="1:6" s="44" customFormat="1">
      <c r="A40"/>
      <c r="B40"/>
    </row>
    <row r="41" spans="1:6" s="44" customFormat="1" ht="20.399999999999999">
      <c r="A41" s="420"/>
      <c r="B41" s="115" t="s">
        <v>45</v>
      </c>
    </row>
    <row r="42" spans="1:6" s="44" customFormat="1" ht="10.199999999999999">
      <c r="A42" s="50" t="s">
        <v>860</v>
      </c>
      <c r="B42" s="551">
        <v>3223184</v>
      </c>
    </row>
    <row r="43" spans="1:6" s="44" customFormat="1" ht="10.199999999999999" hidden="1">
      <c r="A43" s="497" t="s">
        <v>699</v>
      </c>
      <c r="B43" s="551">
        <v>0</v>
      </c>
    </row>
    <row r="44" spans="1:6" s="44" customFormat="1" ht="20.399999999999999" hidden="1">
      <c r="A44" s="497" t="s">
        <v>1023</v>
      </c>
      <c r="B44" s="551">
        <f>B42+B43</f>
        <v>3223184</v>
      </c>
    </row>
    <row r="45" spans="1:6" s="44" customFormat="1" ht="10.199999999999999">
      <c r="A45" s="497" t="s">
        <v>785</v>
      </c>
      <c r="B45" s="551">
        <f>B46+B48+B47</f>
        <v>15553</v>
      </c>
    </row>
    <row r="46" spans="1:6" s="44" customFormat="1" ht="10.199999999999999" hidden="1">
      <c r="A46" s="552" t="s">
        <v>786</v>
      </c>
      <c r="B46" s="405">
        <v>0</v>
      </c>
    </row>
    <row r="47" spans="1:6" s="44" customFormat="1" ht="10.199999999999999">
      <c r="A47" s="552" t="s">
        <v>890</v>
      </c>
      <c r="B47" s="405">
        <v>15553</v>
      </c>
    </row>
    <row r="48" spans="1:6" s="44" customFormat="1" ht="10.199999999999999">
      <c r="A48" s="552" t="s">
        <v>787</v>
      </c>
      <c r="B48" s="405">
        <v>0</v>
      </c>
    </row>
    <row r="49" spans="1:5" s="44" customFormat="1" ht="10.199999999999999">
      <c r="A49" s="47" t="s">
        <v>788</v>
      </c>
      <c r="B49" s="551">
        <v>0</v>
      </c>
    </row>
    <row r="50" spans="1:5" s="44" customFormat="1" ht="10.199999999999999">
      <c r="A50" s="47" t="s">
        <v>789</v>
      </c>
      <c r="B50" s="551">
        <v>9995</v>
      </c>
    </row>
    <row r="51" spans="1:5" s="44" customFormat="1" ht="10.199999999999999">
      <c r="A51" s="47" t="s">
        <v>790</v>
      </c>
      <c r="B51" s="551">
        <f>B52+B53+B54+B55+B56</f>
        <v>-2701828</v>
      </c>
    </row>
    <row r="52" spans="1:5" s="44" customFormat="1" ht="10.199999999999999">
      <c r="A52" s="612" t="s">
        <v>892</v>
      </c>
      <c r="B52" s="405">
        <v>-961261</v>
      </c>
    </row>
    <row r="53" spans="1:5" s="44" customFormat="1" ht="10.199999999999999">
      <c r="A53" s="612" t="s">
        <v>893</v>
      </c>
      <c r="B53" s="405">
        <v>-140786</v>
      </c>
    </row>
    <row r="54" spans="1:5" s="44" customFormat="1" ht="10.199999999999999">
      <c r="A54" s="552" t="s">
        <v>791</v>
      </c>
      <c r="B54" s="405">
        <v>-648000</v>
      </c>
    </row>
    <row r="55" spans="1:5" s="44" customFormat="1" ht="10.199999999999999">
      <c r="A55" s="552" t="s">
        <v>792</v>
      </c>
      <c r="B55" s="405">
        <v>-9995</v>
      </c>
    </row>
    <row r="56" spans="1:5" s="44" customFormat="1" ht="10.199999999999999">
      <c r="A56" s="552" t="s">
        <v>793</v>
      </c>
      <c r="B56" s="405">
        <v>-941786</v>
      </c>
    </row>
    <row r="57" spans="1:5" s="44" customFormat="1" ht="10.199999999999999">
      <c r="A57" s="47" t="s">
        <v>794</v>
      </c>
      <c r="B57" s="551">
        <v>0</v>
      </c>
    </row>
    <row r="58" spans="1:5" s="44" customFormat="1" ht="10.199999999999999">
      <c r="A58" s="47" t="s">
        <v>795</v>
      </c>
      <c r="B58" s="551">
        <v>0</v>
      </c>
    </row>
    <row r="59" spans="1:5" s="44" customFormat="1" ht="10.199999999999999">
      <c r="A59" s="50" t="s">
        <v>861</v>
      </c>
      <c r="B59" s="551">
        <f>B44+B45+B49+B50+B51+B57+B58</f>
        <v>546904</v>
      </c>
    </row>
    <row r="60" spans="1:5" s="44" customFormat="1" ht="10.199999999999999"/>
    <row r="61" spans="1:5" s="44" customFormat="1" ht="10.199999999999999"/>
    <row r="62" spans="1:5" s="44" customFormat="1" ht="10.199999999999999">
      <c r="A62" s="51" t="s">
        <v>88</v>
      </c>
    </row>
    <row r="63" spans="1:5" s="44" customFormat="1" ht="10.199999999999999"/>
    <row r="64" spans="1:5" s="44" customFormat="1" ht="10.199999999999999">
      <c r="A64" s="711" t="s">
        <v>294</v>
      </c>
      <c r="B64" s="712">
        <f>B5</f>
        <v>44926</v>
      </c>
      <c r="C64" s="712"/>
      <c r="D64" s="712">
        <f>C5</f>
        <v>44561</v>
      </c>
      <c r="E64" s="712"/>
    </row>
    <row r="65" spans="1:5" s="44" customFormat="1" ht="20.399999999999999">
      <c r="A65" s="711"/>
      <c r="B65" s="70" t="s">
        <v>86</v>
      </c>
      <c r="C65" s="70" t="s">
        <v>87</v>
      </c>
      <c r="D65" s="70" t="s">
        <v>86</v>
      </c>
      <c r="E65" s="70" t="s">
        <v>87</v>
      </c>
    </row>
    <row r="66" spans="1:5" s="44" customFormat="1" ht="10.199999999999999">
      <c r="A66" s="145" t="s">
        <v>13</v>
      </c>
      <c r="B66" s="200"/>
      <c r="C66" s="200">
        <v>1259575</v>
      </c>
      <c r="D66" s="200"/>
      <c r="E66" s="200">
        <v>546904</v>
      </c>
    </row>
    <row r="67" spans="1:5" s="44" customFormat="1" ht="10.199999999999999">
      <c r="A67" s="145" t="s">
        <v>14</v>
      </c>
      <c r="B67" s="157">
        <v>0</v>
      </c>
      <c r="C67" s="157">
        <v>0</v>
      </c>
      <c r="D67" s="157">
        <v>0</v>
      </c>
      <c r="E67" s="157">
        <v>0</v>
      </c>
    </row>
    <row r="68" spans="1:5" s="44" customFormat="1" ht="10.199999999999999">
      <c r="A68" s="145" t="s">
        <v>15</v>
      </c>
      <c r="B68" s="157">
        <v>0</v>
      </c>
      <c r="C68" s="157">
        <v>0</v>
      </c>
      <c r="D68" s="157">
        <v>0</v>
      </c>
      <c r="E68" s="157">
        <v>0</v>
      </c>
    </row>
    <row r="69" spans="1:5" s="44" customFormat="1" ht="10.199999999999999">
      <c r="A69" s="145" t="s">
        <v>350</v>
      </c>
      <c r="B69" s="157">
        <v>0</v>
      </c>
      <c r="C69" s="157">
        <v>0</v>
      </c>
      <c r="D69" s="157">
        <v>0</v>
      </c>
      <c r="E69" s="157">
        <v>0</v>
      </c>
    </row>
    <row r="70" spans="1:5" s="44" customFormat="1" ht="10.199999999999999">
      <c r="A70" s="145" t="s">
        <v>351</v>
      </c>
      <c r="B70" s="157">
        <v>0</v>
      </c>
      <c r="C70" s="157">
        <v>0</v>
      </c>
      <c r="D70" s="157">
        <v>0</v>
      </c>
      <c r="E70" s="157">
        <v>0</v>
      </c>
    </row>
    <row r="71" spans="1:5" s="44" customFormat="1" ht="10.199999999999999">
      <c r="A71" s="13" t="s">
        <v>85</v>
      </c>
      <c r="B71" s="235" t="s">
        <v>84</v>
      </c>
      <c r="C71" s="127">
        <f>SUM(C66:C70)</f>
        <v>1259575</v>
      </c>
      <c r="D71" s="235" t="s">
        <v>84</v>
      </c>
      <c r="E71" s="127">
        <f>SUM(E66:E70)</f>
        <v>546904</v>
      </c>
    </row>
    <row r="72" spans="1:5" s="44" customFormat="1" ht="10.199999999999999">
      <c r="C72" s="301">
        <f>B14-C71</f>
        <v>0</v>
      </c>
      <c r="E72" s="301">
        <f>C14-E71</f>
        <v>0</v>
      </c>
    </row>
    <row r="73" spans="1:5" s="44" customFormat="1" ht="10.199999999999999"/>
    <row r="74" spans="1:5" s="44" customFormat="1" ht="10.199999999999999"/>
    <row r="75" spans="1:5" s="44" customFormat="1" ht="10.199999999999999"/>
  </sheetData>
  <mergeCells count="3">
    <mergeCell ref="A64:A65"/>
    <mergeCell ref="B64:C64"/>
    <mergeCell ref="D64:E64"/>
  </mergeCells>
  <phoneticPr fontId="37" type="noConversion"/>
  <pageMargins left="0.75" right="0.75" top="1" bottom="1" header="0.5" footer="0.5"/>
  <pageSetup paperSize="9" scale="7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showGridLines="0" view="pageBreakPreview" zoomScaleNormal="100" zoomScaleSheetLayoutView="100" workbookViewId="0">
      <selection activeCell="A34" sqref="A34:B50"/>
    </sheetView>
  </sheetViews>
  <sheetFormatPr defaultRowHeight="13.2"/>
  <cols>
    <col min="1" max="1" width="60.44140625" customWidth="1"/>
    <col min="2" max="7" width="15.5546875" customWidth="1"/>
  </cols>
  <sheetData>
    <row r="1" spans="1:5" s="133" customFormat="1" ht="10.199999999999999"/>
    <row r="2" spans="1:5" s="133" customFormat="1">
      <c r="A2" s="381" t="s">
        <v>921</v>
      </c>
      <c r="D2" s="369"/>
      <c r="E2" s="369"/>
    </row>
    <row r="3" spans="1:5" s="133" customFormat="1" ht="10.199999999999999">
      <c r="A3" s="130"/>
    </row>
    <row r="4" spans="1:5" s="133" customFormat="1" ht="10.199999999999999">
      <c r="A4" s="134"/>
      <c r="B4" s="416">
        <f>'Dane podstawowe'!B9</f>
        <v>44926</v>
      </c>
      <c r="C4" s="416">
        <f>'Dane podstawowe'!B14</f>
        <v>44561</v>
      </c>
    </row>
    <row r="5" spans="1:5" s="133" customFormat="1" ht="10.199999999999999">
      <c r="A5" s="63" t="s">
        <v>229</v>
      </c>
      <c r="B5" s="429">
        <v>1929919</v>
      </c>
      <c r="C5" s="429">
        <v>1627210</v>
      </c>
    </row>
    <row r="6" spans="1:5" s="133" customFormat="1" ht="10.199999999999999">
      <c r="A6" s="63" t="s">
        <v>725</v>
      </c>
      <c r="B6" s="430">
        <v>0</v>
      </c>
      <c r="C6" s="429">
        <v>0</v>
      </c>
    </row>
    <row r="7" spans="1:5" s="133" customFormat="1" ht="10.199999999999999" hidden="1">
      <c r="A7" s="63" t="s">
        <v>230</v>
      </c>
      <c r="B7" s="430">
        <v>0</v>
      </c>
      <c r="C7" s="430">
        <v>0</v>
      </c>
    </row>
    <row r="8" spans="1:5" s="133" customFormat="1" ht="10.199999999999999" hidden="1">
      <c r="A8" s="63" t="s">
        <v>470</v>
      </c>
      <c r="B8" s="430">
        <v>0</v>
      </c>
      <c r="C8" s="430">
        <v>0</v>
      </c>
    </row>
    <row r="9" spans="1:5" s="133" customFormat="1" ht="10.199999999999999" hidden="1">
      <c r="A9" s="63" t="s">
        <v>471</v>
      </c>
      <c r="B9" s="430">
        <v>0</v>
      </c>
      <c r="C9" s="430">
        <v>0</v>
      </c>
    </row>
    <row r="10" spans="1:5" s="133" customFormat="1" ht="10.199999999999999" hidden="1">
      <c r="A10" s="63" t="s">
        <v>472</v>
      </c>
      <c r="B10" s="430">
        <v>0</v>
      </c>
      <c r="C10" s="430">
        <v>0</v>
      </c>
    </row>
    <row r="11" spans="1:5" s="133" customFormat="1" ht="10.199999999999999">
      <c r="A11" s="136" t="s">
        <v>231</v>
      </c>
      <c r="B11" s="428">
        <f>SUM(B5:B10)</f>
        <v>1929919</v>
      </c>
      <c r="C11" s="428">
        <f>SUM(C5:C10)</f>
        <v>1627210</v>
      </c>
    </row>
    <row r="12" spans="1:5" s="133" customFormat="1" ht="10.199999999999999">
      <c r="A12" s="69" t="s">
        <v>482</v>
      </c>
      <c r="B12" s="430">
        <v>988067</v>
      </c>
      <c r="C12" s="430">
        <v>903039</v>
      </c>
    </row>
    <row r="13" spans="1:5" s="133" customFormat="1" ht="10.199999999999999">
      <c r="A13" s="69" t="s">
        <v>483</v>
      </c>
      <c r="B13" s="430">
        <v>941852</v>
      </c>
      <c r="C13" s="430">
        <v>724171</v>
      </c>
    </row>
    <row r="14" spans="1:5" s="133" customFormat="1" ht="10.199999999999999">
      <c r="A14" s="132"/>
      <c r="B14" s="307">
        <f>B11-Pasywa!D14-Pasywa!D22</f>
        <v>0</v>
      </c>
      <c r="C14" s="307">
        <f>C11-Pasywa!E14-Pasywa!E22</f>
        <v>0</v>
      </c>
    </row>
    <row r="15" spans="1:5" s="133" customFormat="1" ht="10.199999999999999">
      <c r="B15" s="305"/>
      <c r="C15" s="308"/>
      <c r="E15" s="331"/>
    </row>
    <row r="16" spans="1:5" s="133" customFormat="1" ht="10.199999999999999">
      <c r="A16" s="11" t="s">
        <v>842</v>
      </c>
      <c r="B16" s="305"/>
      <c r="C16" s="308"/>
      <c r="E16" s="331"/>
    </row>
    <row r="17" spans="1:6" s="133" customFormat="1" ht="10.199999999999999">
      <c r="A17" s="11"/>
      <c r="B17" s="305"/>
      <c r="C17" s="308"/>
      <c r="E17" s="331"/>
    </row>
    <row r="18" spans="1:6" s="133" customFormat="1" ht="20.399999999999999">
      <c r="A18" s="420"/>
      <c r="B18" s="115" t="s">
        <v>547</v>
      </c>
      <c r="C18" s="223"/>
      <c r="D18" s="223"/>
      <c r="E18" s="223"/>
      <c r="F18" s="223"/>
    </row>
    <row r="19" spans="1:6" s="133" customFormat="1" ht="10.199999999999999">
      <c r="A19" s="50" t="s">
        <v>1024</v>
      </c>
      <c r="B19" s="551">
        <f>B50</f>
        <v>1627210</v>
      </c>
      <c r="C19" s="223"/>
      <c r="D19" s="223"/>
      <c r="E19" s="223"/>
      <c r="F19" s="223"/>
    </row>
    <row r="20" spans="1:6" s="133" customFormat="1" ht="10.199999999999999">
      <c r="A20" s="497" t="s">
        <v>785</v>
      </c>
      <c r="B20" s="551">
        <f>B21+B22</f>
        <v>636004</v>
      </c>
      <c r="C20" s="223"/>
      <c r="D20" s="223"/>
      <c r="E20" s="223"/>
      <c r="F20" s="223"/>
    </row>
    <row r="21" spans="1:6" s="133" customFormat="1" ht="10.199999999999999">
      <c r="A21" s="552" t="s">
        <v>786</v>
      </c>
      <c r="B21" s="405">
        <v>0</v>
      </c>
      <c r="C21" s="223"/>
      <c r="D21" s="223"/>
      <c r="E21" s="223"/>
      <c r="F21" s="223"/>
    </row>
    <row r="22" spans="1:6" s="133" customFormat="1" ht="10.199999999999999">
      <c r="A22" s="552" t="s">
        <v>787</v>
      </c>
      <c r="B22" s="405">
        <f>377672+258332</f>
        <v>636004</v>
      </c>
      <c r="C22" s="223"/>
      <c r="D22" s="223"/>
      <c r="E22" s="223"/>
      <c r="F22" s="223"/>
    </row>
    <row r="23" spans="1:6" s="133" customFormat="1" ht="10.199999999999999">
      <c r="A23" s="47" t="s">
        <v>788</v>
      </c>
      <c r="B23" s="551">
        <f>262310+220382+66563</f>
        <v>549255</v>
      </c>
      <c r="C23" s="223"/>
      <c r="D23" s="223"/>
      <c r="E23" s="223"/>
      <c r="F23" s="223"/>
    </row>
    <row r="24" spans="1:6" s="133" customFormat="1" ht="10.199999999999999">
      <c r="A24" s="47" t="s">
        <v>789</v>
      </c>
      <c r="B24" s="551">
        <v>102656</v>
      </c>
      <c r="C24" s="223"/>
      <c r="D24" s="223"/>
      <c r="E24" s="223"/>
      <c r="F24" s="223"/>
    </row>
    <row r="25" spans="1:6" s="133" customFormat="1" ht="10.199999999999999">
      <c r="A25" s="47" t="s">
        <v>790</v>
      </c>
      <c r="B25" s="551">
        <f>B26+B27+B28</f>
        <v>-987281</v>
      </c>
      <c r="C25" s="223"/>
      <c r="D25" s="223"/>
      <c r="E25" s="223"/>
      <c r="F25" s="223"/>
    </row>
    <row r="26" spans="1:6" s="133" customFormat="1" ht="10.199999999999999">
      <c r="A26" s="552" t="s">
        <v>791</v>
      </c>
      <c r="B26" s="550">
        <v>-884625</v>
      </c>
      <c r="C26" s="223"/>
      <c r="D26" s="223"/>
      <c r="E26" s="223"/>
      <c r="F26" s="223"/>
    </row>
    <row r="27" spans="1:6" s="133" customFormat="1" ht="10.199999999999999">
      <c r="A27" s="552" t="s">
        <v>792</v>
      </c>
      <c r="B27" s="550">
        <v>-102656</v>
      </c>
      <c r="C27" s="619"/>
      <c r="D27" s="223"/>
      <c r="E27" s="223"/>
      <c r="F27" s="223"/>
    </row>
    <row r="28" spans="1:6" s="133" customFormat="1" ht="10.199999999999999">
      <c r="A28" s="552" t="s">
        <v>905</v>
      </c>
      <c r="B28" s="405">
        <v>0</v>
      </c>
      <c r="C28" s="223"/>
      <c r="D28" s="223"/>
      <c r="E28" s="223"/>
      <c r="F28" s="223"/>
    </row>
    <row r="29" spans="1:6" s="133" customFormat="1" ht="10.199999999999999">
      <c r="A29" s="47" t="s">
        <v>794</v>
      </c>
      <c r="B29" s="551">
        <v>0</v>
      </c>
      <c r="C29" s="223"/>
      <c r="D29" s="223"/>
      <c r="E29" s="223"/>
      <c r="F29" s="223"/>
    </row>
    <row r="30" spans="1:6" s="133" customFormat="1" ht="10.199999999999999">
      <c r="A30" s="47" t="s">
        <v>795</v>
      </c>
      <c r="B30" s="551">
        <v>2075</v>
      </c>
      <c r="C30" s="223"/>
      <c r="D30" s="223"/>
      <c r="E30" s="223"/>
      <c r="F30" s="223"/>
    </row>
    <row r="31" spans="1:6" s="133" customFormat="1" ht="10.199999999999999">
      <c r="A31" s="50" t="s">
        <v>1025</v>
      </c>
      <c r="B31" s="551">
        <f>B19+B20+B23+B24+B25+B29+B30</f>
        <v>1929919</v>
      </c>
      <c r="C31" s="223"/>
      <c r="D31" s="223"/>
      <c r="E31" s="223"/>
      <c r="F31" s="223"/>
    </row>
    <row r="32" spans="1:6" s="133" customFormat="1">
      <c r="A32"/>
      <c r="B32"/>
      <c r="C32" s="223"/>
      <c r="D32" s="223"/>
      <c r="E32" s="223"/>
      <c r="F32" s="223"/>
    </row>
    <row r="33" spans="1:7" s="133" customFormat="1">
      <c r="A33"/>
      <c r="B33"/>
      <c r="C33" s="223"/>
      <c r="D33" s="223"/>
      <c r="E33" s="223"/>
      <c r="F33" s="223"/>
    </row>
    <row r="34" spans="1:7" s="133" customFormat="1" ht="20.399999999999999">
      <c r="A34" s="420"/>
      <c r="B34" s="115" t="s">
        <v>547</v>
      </c>
      <c r="C34" s="223"/>
      <c r="D34" s="223"/>
      <c r="E34" s="223"/>
      <c r="F34" s="223"/>
    </row>
    <row r="35" spans="1:7" s="133" customFormat="1" ht="10.199999999999999">
      <c r="A35" s="50" t="s">
        <v>860</v>
      </c>
      <c r="B35" s="551">
        <v>2445869</v>
      </c>
      <c r="C35" s="223"/>
      <c r="D35" s="223"/>
      <c r="E35" s="223"/>
      <c r="F35" s="223"/>
    </row>
    <row r="36" spans="1:7" s="133" customFormat="1" ht="10.199999999999999" hidden="1">
      <c r="A36" s="497" t="s">
        <v>699</v>
      </c>
      <c r="B36" s="551"/>
      <c r="C36" s="223"/>
      <c r="D36" s="223"/>
      <c r="E36" s="223"/>
      <c r="F36" s="223"/>
    </row>
    <row r="37" spans="1:7" s="133" customFormat="1" ht="10.199999999999999" hidden="1">
      <c r="A37" s="497" t="s">
        <v>1023</v>
      </c>
      <c r="B37" s="551">
        <f>B35+B36</f>
        <v>2445869</v>
      </c>
      <c r="C37" s="223"/>
      <c r="D37" s="223"/>
      <c r="E37" s="223"/>
      <c r="F37" s="223"/>
    </row>
    <row r="38" spans="1:7" s="133" customFormat="1" ht="10.199999999999999">
      <c r="A38" s="497" t="s">
        <v>785</v>
      </c>
      <c r="B38" s="551">
        <f>B39+B41</f>
        <v>274415</v>
      </c>
      <c r="C38" s="223"/>
      <c r="D38" s="223"/>
      <c r="E38" s="223"/>
      <c r="F38" s="223"/>
    </row>
    <row r="39" spans="1:7" s="133" customFormat="1" ht="10.199999999999999">
      <c r="A39" s="552" t="s">
        <v>786</v>
      </c>
      <c r="B39" s="405">
        <v>0</v>
      </c>
      <c r="C39" s="223"/>
      <c r="D39" s="223"/>
      <c r="E39" s="223"/>
      <c r="F39" s="223"/>
    </row>
    <row r="40" spans="1:7" s="133" customFormat="1" ht="9" hidden="1" customHeight="1">
      <c r="A40" s="552" t="s">
        <v>796</v>
      </c>
      <c r="B40" s="405">
        <v>0</v>
      </c>
      <c r="C40" s="223"/>
      <c r="D40" s="223"/>
      <c r="E40" s="223"/>
      <c r="F40" s="223"/>
    </row>
    <row r="41" spans="1:7" s="133" customFormat="1" ht="10.199999999999999">
      <c r="A41" s="552" t="s">
        <v>787</v>
      </c>
      <c r="B41" s="405">
        <v>274415</v>
      </c>
      <c r="C41" s="223"/>
      <c r="D41" s="223"/>
      <c r="E41" s="223"/>
      <c r="F41" s="223"/>
    </row>
    <row r="42" spans="1:7" s="11" customFormat="1" ht="10.199999999999999">
      <c r="A42" s="47" t="s">
        <v>788</v>
      </c>
      <c r="B42" s="551">
        <v>1057043</v>
      </c>
      <c r="C42" s="223"/>
      <c r="D42" s="223"/>
      <c r="E42" s="223"/>
      <c r="F42" s="223"/>
      <c r="G42" s="133"/>
    </row>
    <row r="43" spans="1:7" s="133" customFormat="1" ht="10.199999999999999">
      <c r="A43" s="47" t="s">
        <v>789</v>
      </c>
      <c r="B43" s="551">
        <v>3675</v>
      </c>
      <c r="C43" s="223"/>
      <c r="D43" s="223"/>
      <c r="E43" s="223"/>
      <c r="F43" s="223"/>
    </row>
    <row r="44" spans="1:7" s="133" customFormat="1" ht="10.199999999999999">
      <c r="A44" s="47" t="s">
        <v>790</v>
      </c>
      <c r="B44" s="551">
        <f>B45+B46+B47</f>
        <v>-1907661</v>
      </c>
      <c r="C44" s="223"/>
      <c r="D44" s="223"/>
      <c r="E44" s="223"/>
      <c r="F44" s="223"/>
    </row>
    <row r="45" spans="1:7" s="133" customFormat="1" ht="10.199999999999999">
      <c r="A45" s="552" t="s">
        <v>791</v>
      </c>
      <c r="B45" s="550">
        <v>-979642</v>
      </c>
      <c r="C45" s="223"/>
      <c r="D45" s="223"/>
      <c r="E45" s="223"/>
      <c r="F45" s="223"/>
    </row>
    <row r="46" spans="1:7" s="133" customFormat="1" ht="10.199999999999999">
      <c r="A46" s="552" t="s">
        <v>792</v>
      </c>
      <c r="B46" s="550">
        <v>-3675</v>
      </c>
      <c r="C46" s="223"/>
      <c r="D46" s="223"/>
      <c r="E46" s="223"/>
      <c r="F46" s="223"/>
    </row>
    <row r="47" spans="1:7" s="11" customFormat="1" ht="10.199999999999999">
      <c r="A47" s="552" t="s">
        <v>905</v>
      </c>
      <c r="B47" s="405">
        <v>-924344</v>
      </c>
      <c r="C47" s="223"/>
      <c r="D47" s="223"/>
      <c r="E47" s="223"/>
      <c r="F47" s="223"/>
      <c r="G47" s="133"/>
    </row>
    <row r="48" spans="1:7" s="133" customFormat="1" ht="10.199999999999999">
      <c r="A48" s="47" t="s">
        <v>794</v>
      </c>
      <c r="B48" s="551">
        <v>0</v>
      </c>
      <c r="C48" s="223"/>
      <c r="D48" s="223"/>
      <c r="E48" s="223"/>
      <c r="F48" s="223"/>
    </row>
    <row r="49" spans="1:6" s="133" customFormat="1" ht="10.199999999999999">
      <c r="A49" s="47" t="s">
        <v>795</v>
      </c>
      <c r="B49" s="551">
        <v>-246131</v>
      </c>
      <c r="C49" s="223"/>
      <c r="D49" s="223"/>
      <c r="E49" s="223"/>
      <c r="F49" s="223"/>
    </row>
    <row r="50" spans="1:6" s="133" customFormat="1" ht="10.199999999999999">
      <c r="A50" s="50" t="s">
        <v>861</v>
      </c>
      <c r="B50" s="551">
        <f>B37+B38+B42+B43+B44+B48+B49</f>
        <v>1627210</v>
      </c>
      <c r="C50" s="223"/>
      <c r="D50" s="223"/>
      <c r="E50" s="223"/>
      <c r="F50" s="223"/>
    </row>
    <row r="51" spans="1:6" s="133" customFormat="1" ht="10.199999999999999">
      <c r="A51" s="223"/>
      <c r="B51" s="223"/>
      <c r="C51" s="223"/>
      <c r="D51" s="223"/>
      <c r="E51" s="223"/>
      <c r="F51" s="223"/>
    </row>
    <row r="52" spans="1:6" s="133" customFormat="1" ht="10.199999999999999">
      <c r="A52" s="223"/>
      <c r="B52" s="223"/>
      <c r="C52" s="223"/>
      <c r="D52" s="223"/>
      <c r="E52" s="223"/>
      <c r="F52" s="223"/>
    </row>
    <row r="53" spans="1:6" s="133" customFormat="1" ht="10.199999999999999">
      <c r="A53" s="223"/>
      <c r="B53" s="223"/>
      <c r="C53" s="223"/>
      <c r="D53" s="223"/>
      <c r="E53" s="223"/>
      <c r="F53" s="223"/>
    </row>
    <row r="54" spans="1:6" s="133" customFormat="1" ht="10.199999999999999">
      <c r="A54" s="223"/>
      <c r="B54" s="223"/>
      <c r="C54" s="223"/>
      <c r="D54" s="223"/>
      <c r="E54" s="223"/>
      <c r="F54" s="223"/>
    </row>
    <row r="55" spans="1:6" s="133" customFormat="1" ht="10.199999999999999">
      <c r="A55" s="223"/>
      <c r="B55" s="223"/>
      <c r="C55" s="223"/>
      <c r="D55" s="223"/>
      <c r="E55" s="223"/>
      <c r="F55" s="223"/>
    </row>
    <row r="56" spans="1:6" s="133" customFormat="1" ht="10.199999999999999">
      <c r="A56" s="223"/>
      <c r="B56" s="223"/>
      <c r="C56" s="223"/>
      <c r="D56" s="223"/>
      <c r="E56" s="223"/>
      <c r="F56" s="223"/>
    </row>
    <row r="57" spans="1:6" s="133" customFormat="1" ht="10.199999999999999">
      <c r="A57" s="223"/>
      <c r="B57" s="223"/>
      <c r="C57" s="223"/>
      <c r="D57" s="223"/>
      <c r="E57" s="223"/>
      <c r="F57" s="223"/>
    </row>
    <row r="58" spans="1:6" s="133" customFormat="1" ht="10.199999999999999">
      <c r="A58" s="223"/>
      <c r="B58" s="223"/>
      <c r="C58" s="223"/>
      <c r="D58" s="223"/>
      <c r="E58" s="223"/>
      <c r="F58" s="223"/>
    </row>
    <row r="59" spans="1:6" s="133" customFormat="1" ht="10.199999999999999">
      <c r="A59" s="223"/>
      <c r="B59" s="223"/>
      <c r="C59" s="223"/>
      <c r="D59" s="223"/>
      <c r="E59" s="223"/>
      <c r="F59" s="223"/>
    </row>
    <row r="60" spans="1:6" s="133" customFormat="1" ht="10.199999999999999">
      <c r="A60" s="223"/>
      <c r="B60" s="223"/>
      <c r="C60" s="223"/>
      <c r="D60" s="223"/>
      <c r="E60" s="223"/>
      <c r="F60" s="223"/>
    </row>
    <row r="61" spans="1:6" s="133" customFormat="1" ht="10.199999999999999" customHeight="1">
      <c r="A61" s="223"/>
      <c r="B61" s="223"/>
      <c r="C61" s="223"/>
      <c r="D61" s="223"/>
      <c r="E61" s="223"/>
      <c r="F61" s="223"/>
    </row>
    <row r="62" spans="1:6" s="133" customFormat="1" ht="10.199999999999999">
      <c r="A62" s="223"/>
      <c r="B62" s="223"/>
      <c r="C62" s="223"/>
      <c r="D62" s="223"/>
      <c r="E62" s="223"/>
      <c r="F62" s="223"/>
    </row>
    <row r="63" spans="1:6" s="133" customFormat="1" ht="10.199999999999999">
      <c r="A63" s="223"/>
      <c r="B63" s="223"/>
      <c r="C63" s="223"/>
      <c r="D63" s="223"/>
      <c r="E63" s="223"/>
      <c r="F63" s="223"/>
    </row>
    <row r="64" spans="1:6" s="133" customFormat="1" ht="10.199999999999999">
      <c r="A64" s="223"/>
      <c r="B64" s="223"/>
      <c r="C64" s="223"/>
      <c r="D64" s="223"/>
      <c r="E64" s="223"/>
      <c r="F64" s="223"/>
    </row>
    <row r="65" spans="1:6" s="133" customFormat="1" ht="10.199999999999999">
      <c r="A65" s="223"/>
      <c r="B65" s="223"/>
      <c r="C65" s="223"/>
      <c r="D65" s="223"/>
      <c r="E65" s="223"/>
      <c r="F65" s="223"/>
    </row>
    <row r="66" spans="1:6" s="133" customFormat="1" ht="10.199999999999999">
      <c r="A66" s="223"/>
      <c r="B66" s="223"/>
      <c r="C66" s="223"/>
      <c r="D66" s="223"/>
      <c r="E66" s="223"/>
      <c r="F66" s="223"/>
    </row>
    <row r="67" spans="1:6" s="133" customFormat="1" ht="10.199999999999999">
      <c r="A67" s="223"/>
      <c r="B67" s="223"/>
      <c r="C67" s="223"/>
      <c r="D67" s="223"/>
      <c r="E67" s="223"/>
      <c r="F67" s="223"/>
    </row>
    <row r="68" spans="1:6" s="133" customFormat="1" ht="10.199999999999999">
      <c r="A68" s="223"/>
      <c r="B68" s="223"/>
      <c r="C68" s="223"/>
      <c r="D68" s="223"/>
      <c r="E68" s="223"/>
      <c r="F68" s="223"/>
    </row>
    <row r="69" spans="1:6" s="133" customFormat="1" ht="10.199999999999999">
      <c r="A69" s="223"/>
      <c r="B69" s="223"/>
      <c r="C69" s="223"/>
      <c r="D69" s="223"/>
      <c r="E69" s="223"/>
      <c r="F69" s="223"/>
    </row>
    <row r="70" spans="1:6" s="133" customFormat="1" ht="10.199999999999999">
      <c r="A70" s="223"/>
      <c r="B70" s="223"/>
      <c r="C70" s="223"/>
      <c r="D70" s="223"/>
      <c r="E70" s="223"/>
      <c r="F70" s="223"/>
    </row>
    <row r="71" spans="1:6" s="133" customFormat="1" ht="10.199999999999999">
      <c r="A71" s="223"/>
      <c r="B71" s="223"/>
      <c r="C71" s="223"/>
      <c r="D71" s="223"/>
      <c r="E71" s="223"/>
      <c r="F71" s="223"/>
    </row>
    <row r="72" spans="1:6" s="133" customFormat="1" ht="10.199999999999999">
      <c r="A72" s="223"/>
      <c r="B72" s="223"/>
      <c r="C72" s="223"/>
      <c r="D72" s="223"/>
      <c r="E72" s="223"/>
      <c r="F72" s="223"/>
    </row>
    <row r="73" spans="1:6" s="133" customFormat="1" ht="10.199999999999999">
      <c r="A73" s="223"/>
      <c r="B73" s="223"/>
      <c r="C73" s="223"/>
      <c r="D73" s="223"/>
      <c r="E73" s="223"/>
      <c r="F73" s="223"/>
    </row>
    <row r="74" spans="1:6" s="133" customFormat="1" ht="10.199999999999999">
      <c r="A74" s="223"/>
      <c r="B74" s="223"/>
      <c r="C74" s="223"/>
      <c r="D74" s="223"/>
      <c r="E74" s="223"/>
      <c r="F74" s="223"/>
    </row>
    <row r="75" spans="1:6" s="133" customFormat="1" ht="10.199999999999999">
      <c r="A75" s="223"/>
      <c r="B75" s="223"/>
      <c r="C75" s="223"/>
      <c r="D75" s="223"/>
      <c r="E75" s="223"/>
      <c r="F75" s="223"/>
    </row>
    <row r="76" spans="1:6" s="133" customFormat="1" ht="10.199999999999999">
      <c r="A76" s="223"/>
      <c r="B76" s="223"/>
      <c r="C76" s="223"/>
      <c r="D76" s="223"/>
      <c r="E76" s="223"/>
      <c r="F76" s="223"/>
    </row>
    <row r="77" spans="1:6" s="133" customFormat="1" ht="10.199999999999999">
      <c r="A77" s="223"/>
      <c r="B77" s="223"/>
      <c r="C77" s="223"/>
      <c r="D77" s="223"/>
      <c r="E77" s="223"/>
      <c r="F77" s="223"/>
    </row>
    <row r="78" spans="1:6" s="133" customFormat="1" ht="10.199999999999999">
      <c r="A78" s="223"/>
      <c r="B78" s="223"/>
      <c r="C78" s="223"/>
      <c r="D78" s="223"/>
      <c r="E78" s="223"/>
      <c r="F78" s="223"/>
    </row>
    <row r="79" spans="1:6" s="133" customFormat="1" ht="10.199999999999999">
      <c r="A79" s="223"/>
      <c r="B79" s="223"/>
      <c r="C79" s="223"/>
      <c r="D79" s="223"/>
      <c r="E79" s="223"/>
      <c r="F79" s="223"/>
    </row>
    <row r="80" spans="1:6" s="133" customFormat="1" ht="10.199999999999999">
      <c r="A80" s="223"/>
      <c r="B80" s="223"/>
      <c r="C80" s="223"/>
      <c r="D80" s="223"/>
      <c r="E80" s="223"/>
      <c r="F80" s="223"/>
    </row>
    <row r="81" spans="1:6" s="133" customFormat="1" ht="10.199999999999999">
      <c r="A81" s="223"/>
      <c r="B81" s="223"/>
      <c r="C81" s="223"/>
      <c r="D81" s="223"/>
      <c r="E81" s="223"/>
      <c r="F81" s="223"/>
    </row>
    <row r="82" spans="1:6" s="133" customFormat="1" ht="10.199999999999999">
      <c r="A82" s="223"/>
      <c r="B82" s="223"/>
      <c r="C82" s="223"/>
      <c r="D82" s="223"/>
      <c r="E82" s="223"/>
      <c r="F82" s="223"/>
    </row>
    <row r="83" spans="1:6" s="133" customFormat="1" ht="10.199999999999999">
      <c r="A83" s="223"/>
      <c r="B83" s="223"/>
      <c r="C83" s="223"/>
      <c r="D83" s="223"/>
      <c r="E83" s="223"/>
      <c r="F83" s="223"/>
    </row>
    <row r="84" spans="1:6" s="133" customFormat="1" ht="10.199999999999999">
      <c r="A84" s="223"/>
      <c r="B84" s="223"/>
      <c r="C84" s="223"/>
      <c r="D84" s="223"/>
      <c r="E84" s="223"/>
      <c r="F84" s="223"/>
    </row>
    <row r="85" spans="1:6" s="133" customFormat="1" ht="10.199999999999999">
      <c r="A85" s="223"/>
      <c r="B85" s="223"/>
      <c r="C85" s="223"/>
      <c r="D85" s="223"/>
      <c r="E85" s="223"/>
      <c r="F85" s="223"/>
    </row>
    <row r="86" spans="1:6" s="133" customFormat="1" ht="10.199999999999999">
      <c r="A86" s="223"/>
      <c r="B86" s="223"/>
      <c r="C86" s="223"/>
      <c r="D86" s="223"/>
      <c r="E86" s="223"/>
      <c r="F86" s="223"/>
    </row>
    <row r="87" spans="1:6" s="133" customFormat="1" ht="10.199999999999999">
      <c r="A87" s="223"/>
      <c r="B87" s="223"/>
      <c r="C87" s="223"/>
      <c r="D87" s="223"/>
      <c r="E87" s="223"/>
      <c r="F87" s="223"/>
    </row>
    <row r="88" spans="1:6" s="133" customFormat="1" ht="10.199999999999999">
      <c r="A88" s="223"/>
      <c r="B88" s="223"/>
      <c r="C88" s="223"/>
      <c r="D88" s="223"/>
      <c r="E88" s="223"/>
      <c r="F88" s="223"/>
    </row>
    <row r="89" spans="1:6" s="133" customFormat="1" ht="10.199999999999999">
      <c r="A89" s="223"/>
      <c r="B89" s="223"/>
      <c r="C89" s="223"/>
      <c r="D89" s="223"/>
      <c r="E89" s="223"/>
      <c r="F89" s="223"/>
    </row>
    <row r="90" spans="1:6" s="133" customFormat="1" ht="10.199999999999999">
      <c r="A90" s="223"/>
      <c r="B90" s="223"/>
      <c r="C90" s="223"/>
      <c r="D90" s="223"/>
      <c r="E90" s="223"/>
      <c r="F90" s="223"/>
    </row>
    <row r="91" spans="1:6" s="133" customFormat="1" ht="10.199999999999999">
      <c r="A91" s="223"/>
      <c r="B91" s="223"/>
      <c r="C91" s="223"/>
      <c r="D91" s="223"/>
      <c r="E91" s="223"/>
      <c r="F91" s="223"/>
    </row>
    <row r="92" spans="1:6" s="133" customFormat="1" ht="10.199999999999999">
      <c r="A92" s="223"/>
      <c r="B92" s="223"/>
      <c r="C92" s="223"/>
      <c r="D92" s="223"/>
      <c r="E92" s="223"/>
      <c r="F92" s="223"/>
    </row>
    <row r="93" spans="1:6" s="133" customFormat="1" ht="10.199999999999999">
      <c r="A93" s="223"/>
      <c r="B93" s="223"/>
      <c r="C93" s="223"/>
      <c r="D93" s="223"/>
      <c r="E93" s="223"/>
      <c r="F93" s="223"/>
    </row>
    <row r="94" spans="1:6" s="133" customFormat="1" ht="10.199999999999999">
      <c r="A94" s="223"/>
      <c r="B94" s="223"/>
      <c r="C94" s="223"/>
      <c r="D94" s="223"/>
      <c r="E94" s="223"/>
      <c r="F94" s="223"/>
    </row>
    <row r="95" spans="1:6" s="133" customFormat="1" ht="10.199999999999999">
      <c r="A95" s="223"/>
      <c r="B95" s="223"/>
      <c r="C95" s="223"/>
      <c r="D95" s="223"/>
      <c r="E95" s="223"/>
      <c r="F95" s="223"/>
    </row>
    <row r="96" spans="1:6" s="133" customFormat="1" ht="10.199999999999999">
      <c r="A96" s="223"/>
      <c r="B96" s="223"/>
      <c r="C96" s="223"/>
      <c r="D96" s="223"/>
      <c r="E96" s="223"/>
      <c r="F96" s="223"/>
    </row>
    <row r="97" spans="1:6" s="133" customFormat="1" ht="10.199999999999999">
      <c r="A97" s="223"/>
      <c r="B97" s="223"/>
      <c r="C97" s="223"/>
      <c r="D97" s="223"/>
      <c r="E97" s="223"/>
      <c r="F97" s="223"/>
    </row>
    <row r="98" spans="1:6" s="133" customFormat="1" ht="10.199999999999999">
      <c r="A98" s="223"/>
      <c r="B98" s="223"/>
      <c r="C98" s="223"/>
      <c r="D98" s="223"/>
      <c r="E98" s="223"/>
      <c r="F98" s="223"/>
    </row>
    <row r="99" spans="1:6" s="133" customFormat="1" ht="10.199999999999999">
      <c r="A99" s="223"/>
      <c r="B99" s="223"/>
      <c r="C99" s="223"/>
      <c r="D99" s="223"/>
      <c r="E99" s="223"/>
      <c r="F99" s="223"/>
    </row>
    <row r="100" spans="1:6" s="133" customFormat="1" ht="10.199999999999999">
      <c r="A100" s="223"/>
      <c r="B100" s="223"/>
      <c r="C100" s="223"/>
      <c r="D100" s="223"/>
      <c r="E100" s="223"/>
      <c r="F100" s="223"/>
    </row>
    <row r="101" spans="1:6" s="133" customFormat="1" ht="10.199999999999999">
      <c r="A101" s="223"/>
      <c r="B101" s="223"/>
      <c r="C101" s="223"/>
      <c r="D101" s="223"/>
      <c r="E101" s="223"/>
      <c r="F101" s="223"/>
    </row>
    <row r="102" spans="1:6" s="133" customFormat="1" ht="10.199999999999999">
      <c r="A102" s="223"/>
      <c r="B102" s="223"/>
      <c r="C102" s="223"/>
      <c r="D102" s="223"/>
      <c r="E102" s="223"/>
      <c r="F102" s="223"/>
    </row>
    <row r="103" spans="1:6" s="133" customFormat="1" ht="10.199999999999999">
      <c r="A103" s="223"/>
      <c r="B103" s="223"/>
      <c r="C103" s="223"/>
      <c r="D103" s="223"/>
      <c r="E103" s="223"/>
      <c r="F103" s="223"/>
    </row>
    <row r="104" spans="1:6" s="133" customFormat="1" ht="10.199999999999999">
      <c r="A104" s="223"/>
      <c r="B104" s="223"/>
      <c r="C104" s="223"/>
      <c r="D104" s="223"/>
      <c r="E104" s="223"/>
      <c r="F104" s="223"/>
    </row>
    <row r="105" spans="1:6" s="133" customFormat="1" ht="10.199999999999999">
      <c r="A105" s="223"/>
      <c r="B105" s="223"/>
      <c r="C105" s="223"/>
      <c r="D105" s="223"/>
      <c r="E105" s="223"/>
      <c r="F105" s="223"/>
    </row>
    <row r="106" spans="1:6" s="133" customFormat="1" ht="10.199999999999999">
      <c r="A106" s="223"/>
      <c r="B106" s="223"/>
      <c r="C106" s="223"/>
      <c r="D106" s="223"/>
      <c r="E106" s="223"/>
      <c r="F106" s="223"/>
    </row>
    <row r="107" spans="1:6" s="133" customFormat="1" ht="10.199999999999999">
      <c r="A107" s="223"/>
      <c r="D107" s="426"/>
      <c r="E107" s="223"/>
    </row>
    <row r="108" spans="1:6" s="133" customFormat="1" ht="10.199999999999999">
      <c r="A108" s="223"/>
      <c r="D108" s="305"/>
      <c r="E108" s="308"/>
    </row>
    <row r="109" spans="1:6" s="133" customFormat="1" ht="10.199999999999999"/>
  </sheetData>
  <phoneticPr fontId="56" type="noConversion"/>
  <pageMargins left="0.7" right="0.7" top="0.75" bottom="0.75" header="0.3" footer="0.3"/>
  <pageSetup paperSize="9" scale="64" orientation="portrait" r:id="rId1"/>
  <headerFooter alignWithMargins="0"/>
  <colBreaks count="1" manualBreakCount="1">
    <brk id="6" min="1" max="143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/>
  <dimension ref="A1:I36"/>
  <sheetViews>
    <sheetView showGridLines="0" view="pageBreakPreview" zoomScaleNormal="100" zoomScaleSheetLayoutView="100" workbookViewId="0">
      <selection activeCell="A17" sqref="A17:C34"/>
    </sheetView>
  </sheetViews>
  <sheetFormatPr defaultColWidth="9.33203125" defaultRowHeight="13.2"/>
  <cols>
    <col min="1" max="1" width="39" customWidth="1"/>
    <col min="2" max="2" width="15.33203125" customWidth="1"/>
    <col min="3" max="3" width="15" customWidth="1"/>
    <col min="4" max="4" width="14.44140625" customWidth="1"/>
    <col min="5" max="5" width="11" customWidth="1"/>
    <col min="6" max="6" width="10.5546875" customWidth="1"/>
    <col min="7" max="7" width="11.44140625" customWidth="1"/>
    <col min="8" max="8" width="10.44140625" customWidth="1"/>
  </cols>
  <sheetData>
    <row r="1" spans="1:3">
      <c r="A1" s="38"/>
    </row>
    <row r="2" spans="1:3" s="44" customFormat="1">
      <c r="A2" s="381" t="s">
        <v>922</v>
      </c>
    </row>
    <row r="3" spans="1:3" s="44" customFormat="1" ht="10.199999999999999">
      <c r="A3" s="3"/>
    </row>
    <row r="4" spans="1:3" s="44" customFormat="1" ht="10.199999999999999">
      <c r="A4" s="51" t="s">
        <v>315</v>
      </c>
    </row>
    <row r="5" spans="1:3" s="44" customFormat="1" ht="10.199999999999999">
      <c r="A5" s="51"/>
    </row>
    <row r="6" spans="1:3" s="44" customFormat="1" ht="10.199999999999999">
      <c r="A6" s="99" t="s">
        <v>294</v>
      </c>
      <c r="B6" s="416">
        <f>Pasywa!D2</f>
        <v>44926</v>
      </c>
      <c r="C6" s="416">
        <v>44561</v>
      </c>
    </row>
    <row r="7" spans="1:3" s="44" customFormat="1" ht="10.199999999999999">
      <c r="A7" s="370" t="s">
        <v>315</v>
      </c>
      <c r="B7" s="371">
        <f>SUM(B8:B9)</f>
        <v>9835868</v>
      </c>
      <c r="C7" s="371">
        <f>SUM(C8:C9)</f>
        <v>7374029</v>
      </c>
    </row>
    <row r="8" spans="1:3" s="44" customFormat="1" ht="10.199999999999999">
      <c r="A8" s="67" t="s">
        <v>445</v>
      </c>
      <c r="B8" s="200">
        <v>0</v>
      </c>
      <c r="C8" s="200">
        <v>0</v>
      </c>
    </row>
    <row r="9" spans="1:3" s="44" customFormat="1" ht="10.199999999999999">
      <c r="A9" s="67" t="s">
        <v>446</v>
      </c>
      <c r="B9" s="200">
        <v>9835868</v>
      </c>
      <c r="C9" s="200">
        <v>7374029</v>
      </c>
    </row>
    <row r="10" spans="1:3" s="44" customFormat="1" ht="10.199999999999999">
      <c r="A10" s="166"/>
      <c r="B10" s="301">
        <f>B7-Pasywa!D23</f>
        <v>0</v>
      </c>
      <c r="C10" s="301">
        <f>C7-Pasywa!E23</f>
        <v>0</v>
      </c>
    </row>
    <row r="11" spans="1:3" s="44" customFormat="1" ht="10.199999999999999">
      <c r="A11" s="167"/>
      <c r="B11" s="460"/>
      <c r="C11" s="460"/>
    </row>
    <row r="13" spans="1:3" s="44" customFormat="1">
      <c r="A13" s="381" t="s">
        <v>923</v>
      </c>
    </row>
    <row r="14" spans="1:3" s="44" customFormat="1" ht="10.199999999999999">
      <c r="A14" s="3"/>
    </row>
    <row r="15" spans="1:3" s="44" customFormat="1" ht="10.199999999999999">
      <c r="A15" s="166" t="s">
        <v>408</v>
      </c>
      <c r="B15" s="460"/>
      <c r="C15" s="460"/>
    </row>
    <row r="16" spans="1:3" s="44" customFormat="1" ht="10.199999999999999">
      <c r="A16" s="164"/>
      <c r="B16" s="165"/>
      <c r="C16" s="165"/>
    </row>
    <row r="17" spans="1:3" s="44" customFormat="1" ht="10.199999999999999">
      <c r="A17" s="99" t="s">
        <v>294</v>
      </c>
      <c r="B17" s="416">
        <f>B6</f>
        <v>44926</v>
      </c>
      <c r="C17" s="416">
        <f>C6</f>
        <v>44561</v>
      </c>
    </row>
    <row r="18" spans="1:3" s="44" customFormat="1" ht="35.25" customHeight="1">
      <c r="A18" s="87" t="s">
        <v>175</v>
      </c>
      <c r="B18" s="125">
        <f>SUM(B19:B26)</f>
        <v>1160329</v>
      </c>
      <c r="C18" s="125">
        <f>SUM(C19:C26)</f>
        <v>1135344</v>
      </c>
    </row>
    <row r="19" spans="1:3" s="44" customFormat="1" ht="10.199999999999999">
      <c r="A19" s="168" t="s">
        <v>447</v>
      </c>
      <c r="B19" s="200">
        <v>150507</v>
      </c>
      <c r="C19" s="200">
        <v>76660</v>
      </c>
    </row>
    <row r="20" spans="1:3" s="44" customFormat="1" ht="10.199999999999999">
      <c r="A20" s="168" t="s">
        <v>448</v>
      </c>
      <c r="B20" s="200">
        <v>10542</v>
      </c>
      <c r="C20" s="200">
        <v>10742</v>
      </c>
    </row>
    <row r="21" spans="1:3" s="44" customFormat="1" ht="10.199999999999999">
      <c r="A21" s="168" t="s">
        <v>449</v>
      </c>
      <c r="B21" s="200">
        <v>235645</v>
      </c>
      <c r="C21" s="200">
        <v>250112</v>
      </c>
    </row>
    <row r="22" spans="1:3" s="44" customFormat="1" ht="10.199999999999999">
      <c r="A22" s="168" t="s">
        <v>577</v>
      </c>
      <c r="B22" s="200">
        <v>6258</v>
      </c>
      <c r="C22" s="200">
        <v>6429</v>
      </c>
    </row>
    <row r="23" spans="1:3" s="44" customFormat="1" ht="10.199999999999999">
      <c r="A23" s="168" t="s">
        <v>411</v>
      </c>
      <c r="B23" s="200">
        <v>754712</v>
      </c>
      <c r="C23" s="200">
        <v>791401</v>
      </c>
    </row>
    <row r="24" spans="1:3" s="44" customFormat="1" ht="10.199999999999999" hidden="1">
      <c r="A24" s="168" t="s">
        <v>413</v>
      </c>
      <c r="B24" s="200">
        <v>0</v>
      </c>
      <c r="C24" s="200">
        <v>0</v>
      </c>
    </row>
    <row r="25" spans="1:3" s="44" customFormat="1" ht="10.199999999999999" hidden="1">
      <c r="A25" s="168" t="s">
        <v>412</v>
      </c>
      <c r="B25" s="200">
        <v>0</v>
      </c>
      <c r="C25" s="200">
        <v>0</v>
      </c>
    </row>
    <row r="26" spans="1:3" s="44" customFormat="1" ht="10.199999999999999">
      <c r="A26" s="168" t="s">
        <v>494</v>
      </c>
      <c r="B26" s="200">
        <v>2665</v>
      </c>
      <c r="C26" s="200">
        <v>0</v>
      </c>
    </row>
    <row r="27" spans="1:3" s="44" customFormat="1" ht="10.199999999999999">
      <c r="A27" s="145" t="s">
        <v>450</v>
      </c>
      <c r="B27" s="125">
        <f>B28+B32</f>
        <v>1676176</v>
      </c>
      <c r="C27" s="125">
        <f>SUM(C28:C32)</f>
        <v>999402</v>
      </c>
    </row>
    <row r="28" spans="1:3" s="44" customFormat="1" ht="20.399999999999999">
      <c r="A28" s="168" t="s">
        <v>451</v>
      </c>
      <c r="B28" s="200">
        <v>1318836</v>
      </c>
      <c r="C28" s="200">
        <v>989474</v>
      </c>
    </row>
    <row r="29" spans="1:3" s="44" customFormat="1" ht="10.199999999999999" hidden="1">
      <c r="A29" s="168" t="s">
        <v>452</v>
      </c>
      <c r="B29" s="200"/>
      <c r="C29" s="200"/>
    </row>
    <row r="30" spans="1:3" s="44" customFormat="1" ht="23.25" hidden="1" customHeight="1">
      <c r="A30" s="168" t="s">
        <v>453</v>
      </c>
      <c r="B30" s="200"/>
      <c r="C30" s="200"/>
    </row>
    <row r="31" spans="1:3" s="44" customFormat="1" ht="23.25" hidden="1" customHeight="1">
      <c r="A31" s="168" t="s">
        <v>578</v>
      </c>
      <c r="B31" s="200"/>
      <c r="C31" s="200"/>
    </row>
    <row r="32" spans="1:3" s="44" customFormat="1" ht="10.199999999999999">
      <c r="A32" s="168" t="s">
        <v>454</v>
      </c>
      <c r="B32" s="200">
        <v>357340</v>
      </c>
      <c r="C32" s="200">
        <v>9928</v>
      </c>
    </row>
    <row r="33" spans="1:9" s="44" customFormat="1" ht="10.199999999999999" hidden="1">
      <c r="A33" s="145" t="s">
        <v>414</v>
      </c>
      <c r="B33" s="125"/>
      <c r="C33" s="125"/>
    </row>
    <row r="34" spans="1:9" s="44" customFormat="1" ht="10.199999999999999">
      <c r="A34" s="144" t="s">
        <v>189</v>
      </c>
      <c r="B34" s="88">
        <f>B18+B27</f>
        <v>2836505</v>
      </c>
      <c r="C34" s="88">
        <f>C18+C27+C33</f>
        <v>2134746</v>
      </c>
    </row>
    <row r="35" spans="1:9" s="44" customFormat="1" ht="10.199999999999999">
      <c r="B35" s="301">
        <f>B34-Pasywa!D25</f>
        <v>0</v>
      </c>
      <c r="C35" s="301">
        <f>C34-Pasywa!E25</f>
        <v>0</v>
      </c>
    </row>
    <row r="36" spans="1:9">
      <c r="E36" s="44"/>
      <c r="F36" s="44"/>
      <c r="G36" s="44"/>
      <c r="H36" s="44"/>
      <c r="I36" s="44"/>
    </row>
  </sheetData>
  <phoneticPr fontId="39" type="noConversion"/>
  <pageMargins left="0.75" right="0.75" top="1" bottom="1" header="0.5" footer="0.5"/>
  <pageSetup paperSize="9" scale="6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zoomScaleNormal="100" zoomScaleSheetLayoutView="100" workbookViewId="0">
      <selection activeCell="A16" sqref="A16:C20"/>
    </sheetView>
  </sheetViews>
  <sheetFormatPr defaultColWidth="9.33203125" defaultRowHeight="13.2"/>
  <cols>
    <col min="1" max="1" width="50.44140625" customWidth="1"/>
    <col min="2" max="5" width="16.5546875" customWidth="1"/>
    <col min="7" max="7" width="10" customWidth="1"/>
    <col min="8" max="8" width="10.33203125" customWidth="1"/>
    <col min="9" max="9" width="10.44140625" customWidth="1"/>
  </cols>
  <sheetData>
    <row r="1" spans="1:3">
      <c r="A1" s="38"/>
    </row>
    <row r="2" spans="1:3" s="1" customFormat="1">
      <c r="A2" s="381" t="s">
        <v>924</v>
      </c>
    </row>
    <row r="3" spans="1:3" s="1" customFormat="1" ht="10.199999999999999"/>
    <row r="4" spans="1:3" s="1" customFormat="1" ht="10.199999999999999">
      <c r="A4" s="112" t="s">
        <v>294</v>
      </c>
      <c r="B4" s="416">
        <f>'Dane podstawowe'!$B$9</f>
        <v>44926</v>
      </c>
      <c r="C4" s="416">
        <f>'Dane podstawowe'!$B$14</f>
        <v>44561</v>
      </c>
    </row>
    <row r="5" spans="1:3" s="1" customFormat="1" ht="10.199999999999999">
      <c r="A5" s="169" t="s">
        <v>552</v>
      </c>
      <c r="B5" s="88">
        <f>SUM(B6:B9)</f>
        <v>2342353</v>
      </c>
      <c r="C5" s="88">
        <f>SUM(C6:C9)</f>
        <v>1697287</v>
      </c>
    </row>
    <row r="6" spans="1:3" s="44" customFormat="1" ht="10.199999999999999">
      <c r="A6" s="46" t="s">
        <v>114</v>
      </c>
      <c r="B6" s="200">
        <v>1185357</v>
      </c>
      <c r="C6" s="200">
        <v>882371</v>
      </c>
    </row>
    <row r="7" spans="1:3" s="1" customFormat="1" ht="10.199999999999999">
      <c r="A7" s="46" t="s">
        <v>612</v>
      </c>
      <c r="B7" s="200">
        <v>1156996</v>
      </c>
      <c r="C7" s="200">
        <v>814916</v>
      </c>
    </row>
    <row r="8" spans="1:3" s="44" customFormat="1" ht="10.199999999999999" hidden="1">
      <c r="A8" s="49" t="s">
        <v>550</v>
      </c>
      <c r="B8" s="200"/>
      <c r="C8" s="200"/>
    </row>
    <row r="9" spans="1:3" s="41" customFormat="1" ht="10.199999999999999" hidden="1">
      <c r="A9" s="46" t="s">
        <v>599</v>
      </c>
      <c r="B9" s="200">
        <v>0</v>
      </c>
      <c r="C9" s="200">
        <v>0</v>
      </c>
    </row>
    <row r="10" spans="1:3" s="1" customFormat="1" ht="10.199999999999999">
      <c r="A10" s="55" t="s">
        <v>552</v>
      </c>
      <c r="B10" s="88">
        <f>B5</f>
        <v>2342353</v>
      </c>
      <c r="C10" s="88">
        <f>C5</f>
        <v>1697287</v>
      </c>
    </row>
    <row r="11" spans="1:3" s="1" customFormat="1" ht="10.199999999999999">
      <c r="A11" s="54" t="s">
        <v>354</v>
      </c>
      <c r="B11" s="200">
        <v>864320</v>
      </c>
      <c r="C11" s="200">
        <v>424923</v>
      </c>
    </row>
    <row r="12" spans="1:3" s="1" customFormat="1" ht="10.199999999999999">
      <c r="A12" s="54" t="s">
        <v>353</v>
      </c>
      <c r="B12" s="200">
        <v>1478033</v>
      </c>
      <c r="C12" s="200">
        <v>1272364</v>
      </c>
    </row>
    <row r="13" spans="1:3" s="1" customFormat="1" ht="10.199999999999999">
      <c r="B13" s="296">
        <f>Pasywa!D26-'NOTA 26 - RMP'!B10+Pasywa!D17</f>
        <v>0</v>
      </c>
      <c r="C13" s="296">
        <f>Pasywa!E26-'NOTA 26 - RMP'!C10+Pasywa!E17</f>
        <v>0</v>
      </c>
    </row>
    <row r="16" spans="1:3">
      <c r="A16" s="560" t="s">
        <v>816</v>
      </c>
      <c r="B16" s="560" t="s">
        <v>997</v>
      </c>
      <c r="C16" s="560" t="s">
        <v>843</v>
      </c>
    </row>
    <row r="17" spans="1:3" ht="21">
      <c r="A17" s="552" t="s">
        <v>830</v>
      </c>
      <c r="B17" s="550">
        <v>70586</v>
      </c>
      <c r="C17" s="550">
        <v>158740</v>
      </c>
    </row>
    <row r="18" spans="1:3" ht="21">
      <c r="A18" s="552" t="s">
        <v>821</v>
      </c>
      <c r="B18" s="550">
        <v>517746</v>
      </c>
      <c r="C18" s="550">
        <v>543506</v>
      </c>
    </row>
    <row r="19" spans="1:3" ht="21">
      <c r="A19" s="597" t="s">
        <v>878</v>
      </c>
      <c r="B19" s="550">
        <v>597025</v>
      </c>
      <c r="C19" s="550">
        <v>180125</v>
      </c>
    </row>
    <row r="20" spans="1:3">
      <c r="A20" s="557" t="s">
        <v>815</v>
      </c>
      <c r="B20" s="551">
        <f>SUM(B17:B19)</f>
        <v>1185357</v>
      </c>
      <c r="C20" s="551">
        <f>SUM(C17:C19)</f>
        <v>882371</v>
      </c>
    </row>
  </sheetData>
  <phoneticPr fontId="42" type="noConversion"/>
  <pageMargins left="0.7" right="0.7" top="0.75" bottom="0.75" header="0.3" footer="0.3"/>
  <pageSetup paperSize="9" scale="6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2"/>
  <dimension ref="A1:F71"/>
  <sheetViews>
    <sheetView showGridLines="0" view="pageBreakPreview" zoomScaleNormal="100" zoomScaleSheetLayoutView="100" workbookViewId="0">
      <selection activeCell="A48" sqref="A48:E66"/>
    </sheetView>
  </sheetViews>
  <sheetFormatPr defaultColWidth="9.33203125" defaultRowHeight="10.199999999999999"/>
  <cols>
    <col min="1" max="1" width="54.6640625" style="41" customWidth="1"/>
    <col min="2" max="2" width="14.6640625" style="41" customWidth="1"/>
    <col min="3" max="3" width="12.88671875" style="41" customWidth="1"/>
    <col min="4" max="4" width="14.33203125" style="41" customWidth="1"/>
    <col min="5" max="5" width="12.5546875" style="41" customWidth="1"/>
    <col min="6" max="6" width="11.6640625" style="41" customWidth="1"/>
    <col min="7" max="7" width="19" style="41" customWidth="1"/>
    <col min="8" max="16384" width="9.33203125" style="41"/>
  </cols>
  <sheetData>
    <row r="1" spans="1:6" s="44" customFormat="1">
      <c r="A1" s="172"/>
    </row>
    <row r="2" spans="1:6" ht="13.2">
      <c r="A2" s="381" t="s">
        <v>925</v>
      </c>
    </row>
    <row r="4" spans="1:6" s="1" customFormat="1">
      <c r="A4" s="228"/>
      <c r="B4" s="416">
        <f>Pasywa!D2</f>
        <v>44926</v>
      </c>
      <c r="C4" s="416">
        <v>44561</v>
      </c>
    </row>
    <row r="5" spans="1:6" s="1" customFormat="1">
      <c r="A5" s="215" t="s">
        <v>260</v>
      </c>
      <c r="B5" s="518">
        <f>[9]SARE!B5+[9]INIS!B5+[9]JU!B5+[9]VT!B5+[9]SI!B5+[9]FWC!B5+[9]SL!B5+[9]CB!B5</f>
        <v>0</v>
      </c>
      <c r="C5" s="226">
        <v>0</v>
      </c>
    </row>
    <row r="6" spans="1:6" s="1" customFormat="1">
      <c r="A6" s="215" t="s">
        <v>16</v>
      </c>
      <c r="B6" s="518">
        <f>[9]SARE!B6+[9]INIS!B6+[9]JU!B6+[9]VT!B6+[9]SI!B6+[9]FWC!B6+[9]SL!B6+[9]CB!B6</f>
        <v>0</v>
      </c>
      <c r="C6" s="226">
        <v>0</v>
      </c>
    </row>
    <row r="7" spans="1:6" s="1" customFormat="1">
      <c r="A7" s="215" t="s">
        <v>17</v>
      </c>
      <c r="B7" s="518">
        <v>742528</v>
      </c>
      <c r="C7" s="518">
        <v>573426</v>
      </c>
      <c r="D7" s="234"/>
    </row>
    <row r="8" spans="1:6" s="1" customFormat="1">
      <c r="A8" s="215" t="s">
        <v>18</v>
      </c>
      <c r="B8" s="518">
        <v>814478</v>
      </c>
      <c r="C8" s="518">
        <v>528720</v>
      </c>
    </row>
    <row r="9" spans="1:6">
      <c r="A9" s="50" t="s">
        <v>19</v>
      </c>
      <c r="B9" s="45">
        <f>SUM(B5:B8)</f>
        <v>1557006</v>
      </c>
      <c r="C9" s="45">
        <f>SUM(C5:C8)</f>
        <v>1102146</v>
      </c>
    </row>
    <row r="10" spans="1:6">
      <c r="A10" s="196" t="s">
        <v>82</v>
      </c>
      <c r="B10" s="225">
        <v>0</v>
      </c>
      <c r="C10" s="225">
        <v>0</v>
      </c>
    </row>
    <row r="11" spans="1:6">
      <c r="A11" s="196" t="s">
        <v>83</v>
      </c>
      <c r="B11" s="225">
        <f>B9</f>
        <v>1557006</v>
      </c>
      <c r="C11" s="225">
        <f>C9</f>
        <v>1102146</v>
      </c>
    </row>
    <row r="12" spans="1:6">
      <c r="B12" s="292">
        <f>(Pasywa!D18+Pasywa!D27)-'NOTA 27,28 - Rezerwy'!B9</f>
        <v>0</v>
      </c>
      <c r="C12" s="292">
        <f>(Pasywa!E18+Pasywa!E27)-'NOTA 27,28 - Rezerwy'!C9</f>
        <v>0</v>
      </c>
    </row>
    <row r="13" spans="1:6">
      <c r="B13" s="216"/>
      <c r="C13" s="216"/>
    </row>
    <row r="14" spans="1:6">
      <c r="A14" s="534" t="s">
        <v>327</v>
      </c>
    </row>
    <row r="16" spans="1:6" s="42" customFormat="1" ht="40.799999999999997">
      <c r="A16" s="464"/>
      <c r="B16" s="70" t="s">
        <v>260</v>
      </c>
      <c r="C16" s="70" t="s">
        <v>16</v>
      </c>
      <c r="D16" s="70" t="s">
        <v>17</v>
      </c>
      <c r="E16" s="70" t="s">
        <v>20</v>
      </c>
      <c r="F16" s="70" t="s">
        <v>352</v>
      </c>
    </row>
    <row r="17" spans="1:6" s="51" customFormat="1">
      <c r="A17" s="56" t="s">
        <v>1028</v>
      </c>
      <c r="B17" s="45">
        <v>0</v>
      </c>
      <c r="C17" s="45">
        <f>C28</f>
        <v>0</v>
      </c>
      <c r="D17" s="45">
        <f>D28</f>
        <v>573426</v>
      </c>
      <c r="E17" s="45">
        <f>E28</f>
        <v>528720</v>
      </c>
      <c r="F17" s="45">
        <f>B17+C17+D17+E17</f>
        <v>1102146</v>
      </c>
    </row>
    <row r="18" spans="1:6">
      <c r="A18" s="87" t="s">
        <v>21</v>
      </c>
      <c r="B18" s="75">
        <v>0</v>
      </c>
      <c r="C18" s="75">
        <v>0</v>
      </c>
      <c r="D18" s="529">
        <v>349188</v>
      </c>
      <c r="E18" s="163">
        <v>1872308</v>
      </c>
      <c r="F18" s="75">
        <f t="shared" ref="F18:F20" si="0">B18+C18+D18+E18</f>
        <v>2221496</v>
      </c>
    </row>
    <row r="19" spans="1:6">
      <c r="A19" s="87" t="s">
        <v>346</v>
      </c>
      <c r="B19" s="75">
        <v>0</v>
      </c>
      <c r="C19" s="75">
        <v>0</v>
      </c>
      <c r="D19" s="75">
        <v>8248</v>
      </c>
      <c r="E19" s="163">
        <v>1586550</v>
      </c>
      <c r="F19" s="75">
        <f t="shared" si="0"/>
        <v>1594798</v>
      </c>
    </row>
    <row r="20" spans="1:6">
      <c r="A20" s="87" t="s">
        <v>347</v>
      </c>
      <c r="B20" s="75">
        <v>0</v>
      </c>
      <c r="C20" s="75">
        <v>0</v>
      </c>
      <c r="D20" s="530">
        <v>171838</v>
      </c>
      <c r="E20" s="518">
        <v>0</v>
      </c>
      <c r="F20" s="75">
        <f t="shared" si="0"/>
        <v>171838</v>
      </c>
    </row>
    <row r="21" spans="1:6" s="51" customFormat="1">
      <c r="A21" s="56" t="s">
        <v>1029</v>
      </c>
      <c r="B21" s="45">
        <f>B17+B18-B19-B20</f>
        <v>0</v>
      </c>
      <c r="C21" s="45">
        <f>C17+C18-C19-C20</f>
        <v>0</v>
      </c>
      <c r="D21" s="45">
        <f>D17+D18-D19-D20</f>
        <v>742528</v>
      </c>
      <c r="E21" s="45">
        <f>E17+E18-E19-E20</f>
        <v>814478</v>
      </c>
      <c r="F21" s="45">
        <f>F17+F18-F19-F20</f>
        <v>1557006</v>
      </c>
    </row>
    <row r="22" spans="1:6">
      <c r="A22" s="46" t="s">
        <v>82</v>
      </c>
      <c r="B22" s="75">
        <v>0</v>
      </c>
      <c r="C22" s="75">
        <v>0</v>
      </c>
      <c r="D22" s="75">
        <v>0</v>
      </c>
      <c r="E22" s="163">
        <v>0</v>
      </c>
      <c r="F22" s="163">
        <v>0</v>
      </c>
    </row>
    <row r="23" spans="1:6">
      <c r="A23" s="46" t="s">
        <v>83</v>
      </c>
      <c r="B23" s="75">
        <v>0</v>
      </c>
      <c r="C23" s="75">
        <v>0</v>
      </c>
      <c r="D23" s="75">
        <f>D21</f>
        <v>742528</v>
      </c>
      <c r="E23" s="75">
        <f>E21</f>
        <v>814478</v>
      </c>
      <c r="F23" s="75">
        <f>F21</f>
        <v>1557006</v>
      </c>
    </row>
    <row r="24" spans="1:6" s="51" customFormat="1">
      <c r="A24" s="56" t="s">
        <v>862</v>
      </c>
      <c r="B24" s="88">
        <v>0</v>
      </c>
      <c r="C24" s="88">
        <v>0</v>
      </c>
      <c r="D24" s="88">
        <v>597140</v>
      </c>
      <c r="E24" s="88">
        <v>313679</v>
      </c>
      <c r="F24" s="88">
        <f>D24+E24</f>
        <v>910819</v>
      </c>
    </row>
    <row r="25" spans="1:6">
      <c r="A25" s="87" t="s">
        <v>21</v>
      </c>
      <c r="B25" s="200">
        <v>0</v>
      </c>
      <c r="C25" s="200">
        <v>0</v>
      </c>
      <c r="D25" s="529">
        <v>231600</v>
      </c>
      <c r="E25" s="163">
        <v>2371653</v>
      </c>
      <c r="F25" s="200">
        <f t="shared" ref="F25:F27" si="1">D25+E25</f>
        <v>2603253</v>
      </c>
    </row>
    <row r="26" spans="1:6">
      <c r="A26" s="87" t="s">
        <v>346</v>
      </c>
      <c r="B26" s="200">
        <v>0</v>
      </c>
      <c r="C26" s="200">
        <v>0</v>
      </c>
      <c r="D26" s="75">
        <v>122555</v>
      </c>
      <c r="E26" s="163">
        <v>1969460</v>
      </c>
      <c r="F26" s="200">
        <f t="shared" si="1"/>
        <v>2092015</v>
      </c>
    </row>
    <row r="27" spans="1:6">
      <c r="A27" s="87" t="s">
        <v>347</v>
      </c>
      <c r="B27" s="200">
        <v>0</v>
      </c>
      <c r="C27" s="200">
        <v>0</v>
      </c>
      <c r="D27" s="530">
        <v>132759</v>
      </c>
      <c r="E27" s="518">
        <v>187152</v>
      </c>
      <c r="F27" s="200">
        <f t="shared" si="1"/>
        <v>319911</v>
      </c>
    </row>
    <row r="28" spans="1:6" s="51" customFormat="1">
      <c r="A28" s="56" t="s">
        <v>863</v>
      </c>
      <c r="B28" s="88">
        <f>B24+B25-B26-B27</f>
        <v>0</v>
      </c>
      <c r="C28" s="88">
        <f>C24+C25-C26-C27</f>
        <v>0</v>
      </c>
      <c r="D28" s="88">
        <f>D24+D25-D26-D27</f>
        <v>573426</v>
      </c>
      <c r="E28" s="88">
        <f>E24+E25-E26-E27</f>
        <v>528720</v>
      </c>
      <c r="F28" s="88">
        <f>F24+F25-F26-F27</f>
        <v>1102146</v>
      </c>
    </row>
    <row r="29" spans="1:6">
      <c r="A29" s="46" t="s">
        <v>82</v>
      </c>
      <c r="B29" s="200">
        <v>0</v>
      </c>
      <c r="C29" s="200">
        <v>0</v>
      </c>
      <c r="D29" s="200">
        <v>0</v>
      </c>
      <c r="E29" s="200">
        <v>0</v>
      </c>
      <c r="F29" s="200">
        <v>0</v>
      </c>
    </row>
    <row r="30" spans="1:6">
      <c r="A30" s="46" t="s">
        <v>83</v>
      </c>
      <c r="B30" s="200">
        <v>0</v>
      </c>
      <c r="C30" s="200">
        <v>0</v>
      </c>
      <c r="D30" s="200">
        <f>D28</f>
        <v>573426</v>
      </c>
      <c r="E30" s="200">
        <f>E28</f>
        <v>528720</v>
      </c>
      <c r="F30" s="200">
        <f>F28</f>
        <v>1102146</v>
      </c>
    </row>
    <row r="33" spans="1:5" s="44" customFormat="1" ht="13.2">
      <c r="A33" s="381" t="s">
        <v>926</v>
      </c>
    </row>
    <row r="34" spans="1:5" s="343" customFormat="1"/>
    <row r="35" spans="1:5" s="44" customFormat="1">
      <c r="A35" s="356"/>
      <c r="B35" s="416">
        <f>B4</f>
        <v>44926</v>
      </c>
      <c r="C35" s="416">
        <v>44561</v>
      </c>
    </row>
    <row r="36" spans="1:5" s="44" customFormat="1">
      <c r="A36" s="46" t="s">
        <v>591</v>
      </c>
      <c r="B36" s="75">
        <v>283873</v>
      </c>
      <c r="C36" s="75">
        <v>118601</v>
      </c>
    </row>
    <row r="37" spans="1:5" s="44" customFormat="1">
      <c r="A37" s="46" t="s">
        <v>551</v>
      </c>
      <c r="B37" s="75">
        <v>45750</v>
      </c>
      <c r="C37" s="75">
        <v>43920</v>
      </c>
    </row>
    <row r="38" spans="1:5" s="44" customFormat="1" hidden="1">
      <c r="A38" s="46" t="s">
        <v>548</v>
      </c>
      <c r="B38" s="75"/>
      <c r="C38" s="75">
        <v>0</v>
      </c>
    </row>
    <row r="39" spans="1:5" s="44" customFormat="1">
      <c r="A39" s="46" t="s">
        <v>724</v>
      </c>
      <c r="B39" s="75">
        <v>0</v>
      </c>
      <c r="C39" s="75">
        <v>0</v>
      </c>
    </row>
    <row r="40" spans="1:5" s="44" customFormat="1" hidden="1">
      <c r="A40" s="49" t="s">
        <v>247</v>
      </c>
      <c r="B40" s="75"/>
      <c r="C40" s="75"/>
    </row>
    <row r="41" spans="1:5" s="44" customFormat="1">
      <c r="A41" s="50" t="s">
        <v>19</v>
      </c>
      <c r="B41" s="45">
        <f>SUM(B36:B40)</f>
        <v>329623</v>
      </c>
      <c r="C41" s="45">
        <f>SUM(C36:C40)</f>
        <v>162521</v>
      </c>
    </row>
    <row r="42" spans="1:5" s="44" customFormat="1">
      <c r="A42" s="46" t="s">
        <v>82</v>
      </c>
      <c r="B42" s="75">
        <v>0</v>
      </c>
      <c r="C42" s="75">
        <v>0</v>
      </c>
    </row>
    <row r="43" spans="1:5" s="44" customFormat="1">
      <c r="A43" s="46" t="s">
        <v>83</v>
      </c>
      <c r="B43" s="75">
        <v>329623</v>
      </c>
      <c r="C43" s="75">
        <v>162521</v>
      </c>
    </row>
    <row r="44" spans="1:5" s="44" customFormat="1">
      <c r="B44" s="301">
        <f>(Pasywa!$D$19+Pasywa!$D$28)-B41</f>
        <v>0</v>
      </c>
      <c r="C44" s="301">
        <f>(Pasywa!$E$19+Pasywa!$E$28)-C41</f>
        <v>0</v>
      </c>
    </row>
    <row r="45" spans="1:5" s="44" customFormat="1">
      <c r="B45" s="355"/>
      <c r="C45" s="355"/>
      <c r="D45" s="51"/>
    </row>
    <row r="46" spans="1:5">
      <c r="A46" s="51" t="s">
        <v>327</v>
      </c>
    </row>
    <row r="48" spans="1:5" s="32" customFormat="1" ht="63" customHeight="1">
      <c r="A48" s="124" t="s">
        <v>294</v>
      </c>
      <c r="B48" s="115" t="s">
        <v>605</v>
      </c>
      <c r="C48" s="115" t="s">
        <v>551</v>
      </c>
      <c r="D48" s="115" t="s">
        <v>549</v>
      </c>
      <c r="E48" s="115" t="s">
        <v>352</v>
      </c>
    </row>
    <row r="49" spans="1:5" s="51" customFormat="1">
      <c r="A49" s="56" t="s">
        <v>1028</v>
      </c>
      <c r="B49" s="77">
        <f>B64</f>
        <v>118601</v>
      </c>
      <c r="C49" s="77">
        <f>C64</f>
        <v>43920</v>
      </c>
      <c r="D49" s="77">
        <f>D64</f>
        <v>0</v>
      </c>
      <c r="E49" s="77">
        <f>SUM(B49:D49)</f>
        <v>162521</v>
      </c>
    </row>
    <row r="50" spans="1:5" s="195" customFormat="1">
      <c r="A50" s="2" t="s">
        <v>442</v>
      </c>
      <c r="B50" s="531">
        <v>2509119</v>
      </c>
      <c r="C50" s="531">
        <v>63750</v>
      </c>
      <c r="D50" s="531">
        <v>0</v>
      </c>
      <c r="E50" s="78">
        <f>SUM(B50:D50)</f>
        <v>2572869</v>
      </c>
    </row>
    <row r="51" spans="1:5" s="1" customFormat="1">
      <c r="A51" s="2" t="s">
        <v>348</v>
      </c>
      <c r="B51" s="532">
        <v>2343847</v>
      </c>
      <c r="C51" s="531">
        <v>61920</v>
      </c>
      <c r="D51" s="533">
        <v>0</v>
      </c>
      <c r="E51" s="78">
        <f>SUM(B51:D51)</f>
        <v>2405767</v>
      </c>
    </row>
    <row r="52" spans="1:5" s="195" customFormat="1">
      <c r="A52" s="2" t="s">
        <v>349</v>
      </c>
      <c r="B52" s="531">
        <v>0</v>
      </c>
      <c r="C52" s="531">
        <v>0</v>
      </c>
      <c r="D52" s="531">
        <v>0</v>
      </c>
      <c r="E52" s="78">
        <f>SUM(B52:D52)</f>
        <v>0</v>
      </c>
    </row>
    <row r="53" spans="1:5" s="1" customFormat="1" hidden="1">
      <c r="A53" s="2" t="s">
        <v>443</v>
      </c>
      <c r="B53" s="78">
        <v>0</v>
      </c>
      <c r="C53" s="78">
        <v>0</v>
      </c>
      <c r="D53" s="78">
        <v>0</v>
      </c>
      <c r="E53" s="78">
        <v>0</v>
      </c>
    </row>
    <row r="54" spans="1:5" s="195" customFormat="1" hidden="1">
      <c r="A54" s="2" t="s">
        <v>444</v>
      </c>
      <c r="B54" s="78">
        <v>0</v>
      </c>
      <c r="C54" s="78">
        <v>0</v>
      </c>
      <c r="D54" s="78">
        <v>0</v>
      </c>
      <c r="E54" s="78">
        <v>0</v>
      </c>
    </row>
    <row r="55" spans="1:5" s="51" customFormat="1">
      <c r="A55" s="56" t="s">
        <v>1030</v>
      </c>
      <c r="B55" s="77">
        <f>B49+B50-B51-B52+B53+B54</f>
        <v>283873</v>
      </c>
      <c r="C55" s="77">
        <f>C49+C50-C51-C52+C53+C54</f>
        <v>45750</v>
      </c>
      <c r="D55" s="77">
        <f>D49+D50-D51-D52+D53+D54</f>
        <v>0</v>
      </c>
      <c r="E55" s="77">
        <f>SUM(B55:D55)</f>
        <v>329623</v>
      </c>
    </row>
    <row r="56" spans="1:5" s="195" customFormat="1">
      <c r="A56" s="46" t="s">
        <v>82</v>
      </c>
      <c r="B56" s="78">
        <v>0</v>
      </c>
      <c r="C56" s="78">
        <v>0</v>
      </c>
      <c r="D56" s="78">
        <v>0</v>
      </c>
      <c r="E56" s="78">
        <f t="shared" ref="E56:E58" si="2">SUM(B56:D56)</f>
        <v>0</v>
      </c>
    </row>
    <row r="57" spans="1:5" s="1" customFormat="1">
      <c r="A57" s="46" t="s">
        <v>83</v>
      </c>
      <c r="B57" s="78">
        <f>B55</f>
        <v>283873</v>
      </c>
      <c r="C57" s="78">
        <f t="shared" ref="C57:D57" si="3">C55</f>
        <v>45750</v>
      </c>
      <c r="D57" s="78">
        <f t="shared" si="3"/>
        <v>0</v>
      </c>
      <c r="E57" s="78">
        <f>SUM(B57:D57)</f>
        <v>329623</v>
      </c>
    </row>
    <row r="58" spans="1:5" s="51" customFormat="1">
      <c r="A58" s="56" t="s">
        <v>862</v>
      </c>
      <c r="B58" s="77">
        <v>68713</v>
      </c>
      <c r="C58" s="77">
        <v>41000</v>
      </c>
      <c r="D58" s="77">
        <v>0</v>
      </c>
      <c r="E58" s="77">
        <f t="shared" si="2"/>
        <v>109713</v>
      </c>
    </row>
    <row r="59" spans="1:5" s="1" customFormat="1">
      <c r="A59" s="2" t="s">
        <v>442</v>
      </c>
      <c r="B59" s="531">
        <v>970502</v>
      </c>
      <c r="C59" s="531">
        <v>61920</v>
      </c>
      <c r="D59" s="531">
        <v>0</v>
      </c>
      <c r="E59" s="78">
        <f>SUM(B59:D59)</f>
        <v>1032422</v>
      </c>
    </row>
    <row r="60" spans="1:5" s="195" customFormat="1">
      <c r="A60" s="2" t="s">
        <v>348</v>
      </c>
      <c r="B60" s="532">
        <v>920614</v>
      </c>
      <c r="C60" s="531">
        <v>59000</v>
      </c>
      <c r="D60" s="533">
        <v>0</v>
      </c>
      <c r="E60" s="78">
        <f>SUM(B60:D60)</f>
        <v>979614</v>
      </c>
    </row>
    <row r="61" spans="1:5" s="1" customFormat="1">
      <c r="A61" s="2" t="s">
        <v>349</v>
      </c>
      <c r="B61" s="531">
        <v>0</v>
      </c>
      <c r="C61" s="531">
        <v>0</v>
      </c>
      <c r="D61" s="531">
        <v>0</v>
      </c>
      <c r="E61" s="78">
        <f>SUM(B61:D61)</f>
        <v>0</v>
      </c>
    </row>
    <row r="62" spans="1:5" s="195" customFormat="1" hidden="1">
      <c r="A62" s="2" t="s">
        <v>443</v>
      </c>
      <c r="B62" s="78">
        <v>0</v>
      </c>
      <c r="C62" s="78">
        <v>0</v>
      </c>
      <c r="D62" s="78">
        <v>0</v>
      </c>
      <c r="E62" s="78">
        <f>SUM(B62:D62)</f>
        <v>0</v>
      </c>
    </row>
    <row r="63" spans="1:5" s="1" customFormat="1" hidden="1">
      <c r="A63" s="2" t="s">
        <v>444</v>
      </c>
      <c r="B63" s="78">
        <v>0</v>
      </c>
      <c r="C63" s="78">
        <v>0</v>
      </c>
      <c r="D63" s="78">
        <v>0</v>
      </c>
      <c r="E63" s="78">
        <f>SUM(B63:D63)</f>
        <v>0</v>
      </c>
    </row>
    <row r="64" spans="1:5" s="51" customFormat="1">
      <c r="A64" s="56" t="s">
        <v>864</v>
      </c>
      <c r="B64" s="77">
        <f>B58+B59-B60-B61+B62+B63</f>
        <v>118601</v>
      </c>
      <c r="C64" s="77">
        <f>C58+C59-C60-C61+C62+C63</f>
        <v>43920</v>
      </c>
      <c r="D64" s="77">
        <f>D58+D59-D60-D61+D62+D63</f>
        <v>0</v>
      </c>
      <c r="E64" s="77">
        <f>E58+E59-E60-E61+E62+E63</f>
        <v>162521</v>
      </c>
    </row>
    <row r="65" spans="1:5" s="195" customFormat="1">
      <c r="A65" s="46" t="s">
        <v>82</v>
      </c>
      <c r="B65" s="200">
        <v>0</v>
      </c>
      <c r="C65" s="200">
        <v>0</v>
      </c>
      <c r="D65" s="200">
        <v>0</v>
      </c>
      <c r="E65" s="78">
        <f>SUM(B65:D65)</f>
        <v>0</v>
      </c>
    </row>
    <row r="66" spans="1:5" s="195" customFormat="1">
      <c r="A66" s="46" t="s">
        <v>83</v>
      </c>
      <c r="B66" s="200">
        <f>B64</f>
        <v>118601</v>
      </c>
      <c r="C66" s="200">
        <f t="shared" ref="C66:D66" si="4">C64</f>
        <v>43920</v>
      </c>
      <c r="D66" s="200">
        <f t="shared" si="4"/>
        <v>0</v>
      </c>
      <c r="E66" s="78">
        <f>SUM(B66:D66)</f>
        <v>162521</v>
      </c>
    </row>
    <row r="67" spans="1:5">
      <c r="D67" s="426">
        <f>'Dane podstawowe'!B9</f>
        <v>44926</v>
      </c>
      <c r="E67" s="292">
        <f>(Pasywa!D19+Pasywa!D28)-'NOTA 27,28 - Rezerwy'!E55</f>
        <v>0</v>
      </c>
    </row>
    <row r="68" spans="1:5">
      <c r="D68" s="426">
        <f>'Dane podstawowe'!B14</f>
        <v>44561</v>
      </c>
      <c r="E68" s="292">
        <f>(Pasywa!E19+Pasywa!E28)-'NOTA 27,28 - Rezerwy'!E64</f>
        <v>0</v>
      </c>
    </row>
    <row r="71" spans="1:5" s="44" customFormat="1"/>
  </sheetData>
  <phoneticPr fontId="37" type="noConversion"/>
  <pageMargins left="0.75" right="0.75" top="1" bottom="1" header="0.5" footer="0.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  <pageSetUpPr fitToPage="1"/>
  </sheetPr>
  <dimension ref="A1:BJ47"/>
  <sheetViews>
    <sheetView showGridLines="0" zoomScaleNormal="100" zoomScaleSheetLayoutView="100" workbookViewId="0">
      <selection activeCell="D41" sqref="D41"/>
    </sheetView>
  </sheetViews>
  <sheetFormatPr defaultColWidth="9.33203125" defaultRowHeight="10.199999999999999"/>
  <cols>
    <col min="1" max="1" width="3" style="173" customWidth="1"/>
    <col min="2" max="2" width="58.33203125" style="173" customWidth="1"/>
    <col min="3" max="3" width="8.6640625" style="173" customWidth="1"/>
    <col min="4" max="5" width="22.6640625" style="173" customWidth="1"/>
    <col min="6" max="16384" width="9.33203125" style="173"/>
  </cols>
  <sheetData>
    <row r="1" spans="1:62" s="171" customFormat="1">
      <c r="B1" s="172"/>
    </row>
    <row r="2" spans="1:62" s="174" customFormat="1">
      <c r="A2" s="177"/>
      <c r="B2" s="184" t="s">
        <v>117</v>
      </c>
      <c r="C2" s="184" t="s">
        <v>299</v>
      </c>
      <c r="D2" s="184" t="str">
        <f>CONCATENATE("za okres ",'Dane podstawowe'!$B$7)</f>
        <v>za okres 01.01.2022-31.12.2022</v>
      </c>
      <c r="E2" s="184" t="s">
        <v>998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</row>
    <row r="3" spans="1:62" s="175" customFormat="1">
      <c r="B3" s="185" t="s">
        <v>262</v>
      </c>
      <c r="C3" s="186" t="s">
        <v>955</v>
      </c>
      <c r="D3" s="271">
        <v>79872400</v>
      </c>
      <c r="E3" s="271">
        <v>67492216</v>
      </c>
    </row>
    <row r="4" spans="1:62" s="177" customFormat="1" hidden="1">
      <c r="B4" s="180" t="s">
        <v>106</v>
      </c>
      <c r="C4" s="186"/>
      <c r="D4" s="388">
        <v>0</v>
      </c>
      <c r="E4" s="388">
        <v>0</v>
      </c>
    </row>
    <row r="5" spans="1:62" s="177" customFormat="1" hidden="1">
      <c r="B5" s="180" t="s">
        <v>105</v>
      </c>
      <c r="C5" s="186"/>
      <c r="D5" s="388"/>
      <c r="E5" s="388"/>
    </row>
    <row r="6" spans="1:62" s="177" customFormat="1" hidden="1">
      <c r="B6" s="180" t="s">
        <v>107</v>
      </c>
      <c r="C6" s="186"/>
      <c r="D6" s="388"/>
      <c r="E6" s="388"/>
    </row>
    <row r="7" spans="1:62" s="177" customFormat="1">
      <c r="B7" s="185" t="s">
        <v>523</v>
      </c>
      <c r="C7" s="186" t="s">
        <v>936</v>
      </c>
      <c r="D7" s="273">
        <f>SUM(D8:D15)</f>
        <v>81792666</v>
      </c>
      <c r="E7" s="273">
        <f>SUM(E8:E15)</f>
        <v>68189456</v>
      </c>
    </row>
    <row r="8" spans="1:62" s="175" customFormat="1">
      <c r="B8" s="357" t="s">
        <v>28</v>
      </c>
      <c r="C8" s="186"/>
      <c r="D8" s="276">
        <v>2931388</v>
      </c>
      <c r="E8" s="276">
        <v>3474656</v>
      </c>
    </row>
    <row r="9" spans="1:62" s="177" customFormat="1">
      <c r="B9" s="357" t="s">
        <v>524</v>
      </c>
      <c r="C9" s="186"/>
      <c r="D9" s="276">
        <v>319244</v>
      </c>
      <c r="E9" s="276">
        <v>270856</v>
      </c>
    </row>
    <row r="10" spans="1:62" s="177" customFormat="1">
      <c r="B10" s="357" t="s">
        <v>525</v>
      </c>
      <c r="C10" s="186"/>
      <c r="D10" s="276">
        <v>57782313</v>
      </c>
      <c r="E10" s="276">
        <v>46244676</v>
      </c>
    </row>
    <row r="11" spans="1:62" s="177" customFormat="1">
      <c r="B11" s="357" t="s">
        <v>31</v>
      </c>
      <c r="C11" s="186"/>
      <c r="D11" s="276">
        <v>175503</v>
      </c>
      <c r="E11" s="276">
        <v>168592</v>
      </c>
    </row>
    <row r="12" spans="1:62" s="177" customFormat="1">
      <c r="B12" s="357" t="s">
        <v>198</v>
      </c>
      <c r="C12" s="186"/>
      <c r="D12" s="276">
        <v>16155971</v>
      </c>
      <c r="E12" s="276">
        <v>13990430</v>
      </c>
    </row>
    <row r="13" spans="1:62" s="177" customFormat="1">
      <c r="B13" s="357" t="s">
        <v>526</v>
      </c>
      <c r="C13" s="186"/>
      <c r="D13" s="276">
        <v>3232846</v>
      </c>
      <c r="E13" s="276">
        <v>2551043</v>
      </c>
    </row>
    <row r="14" spans="1:62" s="177" customFormat="1">
      <c r="B14" s="357" t="s">
        <v>527</v>
      </c>
      <c r="C14" s="186"/>
      <c r="D14" s="276">
        <v>1195401</v>
      </c>
      <c r="E14" s="276">
        <v>1489203</v>
      </c>
    </row>
    <row r="15" spans="1:62" s="177" customFormat="1" hidden="1">
      <c r="B15" s="357" t="s">
        <v>33</v>
      </c>
      <c r="C15" s="186"/>
      <c r="D15" s="276">
        <v>0</v>
      </c>
      <c r="E15" s="276">
        <v>0</v>
      </c>
    </row>
    <row r="16" spans="1:62" s="177" customFormat="1" hidden="1">
      <c r="B16" s="187" t="s">
        <v>528</v>
      </c>
      <c r="C16" s="186"/>
      <c r="D16" s="275"/>
      <c r="E16" s="275"/>
    </row>
    <row r="17" spans="2:6" s="177" customFormat="1" hidden="1">
      <c r="B17" s="357" t="s">
        <v>521</v>
      </c>
      <c r="C17" s="186"/>
      <c r="D17" s="276">
        <v>0</v>
      </c>
      <c r="E17" s="276">
        <v>0</v>
      </c>
      <c r="F17" s="189" t="s">
        <v>522</v>
      </c>
    </row>
    <row r="18" spans="2:6" s="177" customFormat="1">
      <c r="B18" s="185" t="s">
        <v>318</v>
      </c>
      <c r="C18" s="186" t="s">
        <v>935</v>
      </c>
      <c r="D18" s="273">
        <v>2652782</v>
      </c>
      <c r="E18" s="273">
        <v>1434386</v>
      </c>
    </row>
    <row r="19" spans="2:6" s="177" customFormat="1">
      <c r="B19" s="185" t="s">
        <v>319</v>
      </c>
      <c r="C19" s="186" t="s">
        <v>935</v>
      </c>
      <c r="D19" s="273">
        <v>92540</v>
      </c>
      <c r="E19" s="273">
        <f>392030+500</f>
        <v>392530</v>
      </c>
    </row>
    <row r="20" spans="2:6" s="177" customFormat="1" hidden="1">
      <c r="B20" s="361" t="s">
        <v>519</v>
      </c>
      <c r="C20" s="186"/>
      <c r="D20" s="388">
        <v>0</v>
      </c>
      <c r="E20" s="388">
        <v>0</v>
      </c>
      <c r="F20" s="189" t="s">
        <v>520</v>
      </c>
    </row>
    <row r="21" spans="2:6" s="177" customFormat="1">
      <c r="B21" s="187" t="s">
        <v>320</v>
      </c>
      <c r="C21" s="186"/>
      <c r="D21" s="275">
        <f>D3-D7+D18-D19</f>
        <v>639976</v>
      </c>
      <c r="E21" s="275">
        <f>E3-E7+E18-E19</f>
        <v>344616</v>
      </c>
    </row>
    <row r="22" spans="2:6" s="177" customFormat="1">
      <c r="B22" s="176" t="s">
        <v>293</v>
      </c>
      <c r="C22" s="186" t="s">
        <v>956</v>
      </c>
      <c r="D22" s="276">
        <v>65401</v>
      </c>
      <c r="E22" s="276">
        <v>107182</v>
      </c>
    </row>
    <row r="23" spans="2:6" s="177" customFormat="1">
      <c r="B23" s="176" t="s">
        <v>492</v>
      </c>
      <c r="C23" s="186" t="s">
        <v>956</v>
      </c>
      <c r="D23" s="388">
        <v>325927</v>
      </c>
      <c r="E23" s="388">
        <v>167456</v>
      </c>
    </row>
    <row r="24" spans="2:6" s="177" customFormat="1">
      <c r="B24" s="309" t="s">
        <v>381</v>
      </c>
      <c r="C24" s="186"/>
      <c r="D24" s="388">
        <v>0</v>
      </c>
      <c r="E24" s="388">
        <v>-24800</v>
      </c>
    </row>
    <row r="25" spans="2:6" s="177" customFormat="1" hidden="1">
      <c r="B25" s="361" t="s">
        <v>537</v>
      </c>
      <c r="C25" s="186"/>
      <c r="D25" s="388">
        <v>0</v>
      </c>
      <c r="E25" s="388">
        <v>0</v>
      </c>
    </row>
    <row r="26" spans="2:6" s="177" customFormat="1">
      <c r="B26" s="187" t="s">
        <v>416</v>
      </c>
      <c r="C26" s="186"/>
      <c r="D26" s="275">
        <f>D21+D22-D23+D24+D25</f>
        <v>379450</v>
      </c>
      <c r="E26" s="275">
        <f>E21+E22-E23+E24+E25</f>
        <v>259542</v>
      </c>
    </row>
    <row r="27" spans="2:6" s="177" customFormat="1">
      <c r="B27" s="176" t="s">
        <v>417</v>
      </c>
      <c r="C27" s="186" t="s">
        <v>937</v>
      </c>
      <c r="D27" s="276">
        <v>100302</v>
      </c>
      <c r="E27" s="276">
        <v>-48048</v>
      </c>
    </row>
    <row r="28" spans="2:6" s="177" customFormat="1" hidden="1">
      <c r="B28" s="361" t="s">
        <v>534</v>
      </c>
      <c r="C28" s="186"/>
      <c r="D28" s="276"/>
      <c r="E28" s="276">
        <v>0</v>
      </c>
    </row>
    <row r="29" spans="2:6" s="177" customFormat="1">
      <c r="B29" s="187" t="s">
        <v>321</v>
      </c>
      <c r="C29" s="186"/>
      <c r="D29" s="275">
        <f>D26-D27</f>
        <v>279148</v>
      </c>
      <c r="E29" s="275">
        <f>E26-E27</f>
        <v>307590</v>
      </c>
    </row>
    <row r="30" spans="2:6" s="177" customFormat="1">
      <c r="B30" s="188" t="s">
        <v>322</v>
      </c>
      <c r="C30" s="186"/>
      <c r="D30" s="388">
        <v>0</v>
      </c>
      <c r="E30" s="388">
        <v>0</v>
      </c>
    </row>
    <row r="31" spans="2:6" s="177" customFormat="1">
      <c r="B31" s="187" t="s">
        <v>190</v>
      </c>
      <c r="C31" s="186"/>
      <c r="D31" s="275">
        <f>D29+D30</f>
        <v>279148</v>
      </c>
      <c r="E31" s="275">
        <f>E29+E30</f>
        <v>307590</v>
      </c>
    </row>
    <row r="32" spans="2:6" s="177" customFormat="1">
      <c r="B32" s="187"/>
      <c r="C32" s="186"/>
      <c r="D32" s="275"/>
      <c r="E32" s="275"/>
    </row>
    <row r="33" spans="2:5" s="189" customFormat="1">
      <c r="B33" s="48" t="s">
        <v>497</v>
      </c>
      <c r="C33" s="186"/>
      <c r="D33" s="276">
        <v>83329</v>
      </c>
      <c r="E33" s="276">
        <v>30610</v>
      </c>
    </row>
    <row r="34" spans="2:5" s="177" customFormat="1">
      <c r="B34" s="178" t="s">
        <v>127</v>
      </c>
      <c r="C34" s="186"/>
      <c r="D34" s="271">
        <f>D31-D33</f>
        <v>195819</v>
      </c>
      <c r="E34" s="271">
        <f>E31-E33</f>
        <v>276980</v>
      </c>
    </row>
    <row r="35" spans="2:5" s="177" customFormat="1">
      <c r="B35" s="178"/>
      <c r="C35" s="186"/>
      <c r="D35" s="271"/>
      <c r="E35" s="271"/>
    </row>
    <row r="36" spans="2:5" s="177" customFormat="1">
      <c r="B36" s="179" t="s">
        <v>108</v>
      </c>
      <c r="C36" s="186" t="s">
        <v>957</v>
      </c>
      <c r="D36" s="271"/>
      <c r="E36" s="271"/>
    </row>
    <row r="37" spans="2:5" s="177" customFormat="1" hidden="1">
      <c r="B37" s="83" t="s">
        <v>128</v>
      </c>
      <c r="C37" s="186"/>
      <c r="D37" s="407">
        <f>D31/2485775</f>
        <v>0.11229817662499623</v>
      </c>
      <c r="E37" s="407">
        <f>E31/2485775</f>
        <v>0.12374008106123845</v>
      </c>
    </row>
    <row r="38" spans="2:5" s="177" customFormat="1" hidden="1">
      <c r="B38" s="83" t="s">
        <v>129</v>
      </c>
      <c r="C38" s="186"/>
      <c r="D38" s="407">
        <f>D31/2485775</f>
        <v>0.11229817662499623</v>
      </c>
      <c r="E38" s="407">
        <f>E31/2485775</f>
        <v>0.12374008106123845</v>
      </c>
    </row>
    <row r="39" spans="2:5" s="177" customFormat="1" hidden="1">
      <c r="B39" s="178" t="s">
        <v>126</v>
      </c>
      <c r="C39" s="186"/>
      <c r="D39" s="273"/>
      <c r="E39" s="273"/>
    </row>
    <row r="40" spans="2:5" s="177" customFormat="1">
      <c r="B40" s="83" t="s">
        <v>128</v>
      </c>
      <c r="C40" s="186"/>
      <c r="D40" s="407">
        <f>D34/2485775</f>
        <v>7.8775834498295297E-2</v>
      </c>
      <c r="E40" s="407">
        <f>E34/2485775</f>
        <v>0.11142601401977251</v>
      </c>
    </row>
    <row r="41" spans="2:5" s="177" customFormat="1">
      <c r="B41" s="83" t="s">
        <v>129</v>
      </c>
      <c r="C41" s="357"/>
      <c r="D41" s="407">
        <f>D34/2602606</f>
        <v>7.5239586783400939E-2</v>
      </c>
      <c r="E41" s="407">
        <f>E34/2544190</f>
        <v>0.10886765532448442</v>
      </c>
    </row>
    <row r="42" spans="2:5" s="177" customFormat="1">
      <c r="B42" s="178" t="s">
        <v>261</v>
      </c>
      <c r="C42" s="357"/>
      <c r="D42" s="273">
        <v>0</v>
      </c>
      <c r="E42" s="273">
        <v>0</v>
      </c>
    </row>
    <row r="43" spans="2:5">
      <c r="B43" s="181"/>
      <c r="C43" s="181"/>
      <c r="D43" s="182"/>
      <c r="E43" s="182"/>
    </row>
    <row r="44" spans="2:5">
      <c r="B44" s="183"/>
      <c r="C44" s="183"/>
      <c r="D44" s="182"/>
      <c r="E44" s="182"/>
    </row>
    <row r="45" spans="2:5">
      <c r="B45" s="181"/>
      <c r="C45" s="181"/>
      <c r="D45" s="182"/>
      <c r="E45" s="182"/>
    </row>
    <row r="46" spans="2:5">
      <c r="B46" s="181"/>
      <c r="C46" s="181"/>
      <c r="D46" s="182"/>
      <c r="E46" s="182"/>
    </row>
    <row r="47" spans="2:5">
      <c r="D47" s="182"/>
      <c r="E47" s="182"/>
    </row>
  </sheetData>
  <phoneticPr fontId="37" type="noConversion"/>
  <pageMargins left="0.7" right="0.7" top="0.75" bottom="0.75" header="0.3" footer="0.3"/>
  <pageSetup paperSize="9" scale="89" orientation="landscape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view="pageBreakPreview" zoomScaleNormal="100" zoomScaleSheetLayoutView="100" workbookViewId="0">
      <selection activeCell="A13" sqref="A13:F28"/>
    </sheetView>
  </sheetViews>
  <sheetFormatPr defaultColWidth="9.33203125" defaultRowHeight="10.199999999999999"/>
  <cols>
    <col min="1" max="1" width="54.6640625" style="41" customWidth="1"/>
    <col min="2" max="2" width="14.6640625" style="41" customWidth="1"/>
    <col min="3" max="3" width="12.88671875" style="41" customWidth="1"/>
    <col min="4" max="4" width="14.33203125" style="41" customWidth="1"/>
    <col min="5" max="5" width="12.5546875" style="41" customWidth="1"/>
    <col min="6" max="6" width="11.6640625" style="41" customWidth="1"/>
    <col min="7" max="7" width="19" style="41" customWidth="1"/>
    <col min="8" max="16384" width="9.33203125" style="41"/>
  </cols>
  <sheetData>
    <row r="1" spans="1:6" s="44" customFormat="1">
      <c r="A1" s="172"/>
    </row>
    <row r="2" spans="1:6" ht="13.2">
      <c r="A2" s="381" t="s">
        <v>927</v>
      </c>
    </row>
    <row r="4" spans="1:6" s="1" customFormat="1">
      <c r="A4" s="41"/>
      <c r="B4" s="41"/>
      <c r="C4" s="41"/>
      <c r="D4" s="41"/>
      <c r="E4" s="41"/>
      <c r="F4" s="41"/>
    </row>
    <row r="5" spans="1:6" s="1" customFormat="1" ht="20.399999999999999">
      <c r="A5" s="420" t="s">
        <v>803</v>
      </c>
      <c r="B5" s="115" t="s">
        <v>804</v>
      </c>
      <c r="C5" s="115" t="s">
        <v>805</v>
      </c>
      <c r="D5" s="416">
        <v>44926</v>
      </c>
      <c r="E5" s="416">
        <v>44561</v>
      </c>
      <c r="F5" s="41"/>
    </row>
    <row r="6" spans="1:6" s="1" customFormat="1">
      <c r="A6" s="578" t="s">
        <v>806</v>
      </c>
      <c r="B6" s="555" t="s">
        <v>807</v>
      </c>
      <c r="C6" s="555" t="s">
        <v>808</v>
      </c>
      <c r="D6" s="556">
        <v>0.98899999999999999</v>
      </c>
      <c r="E6" s="556">
        <v>0.97099999999999997</v>
      </c>
      <c r="F6" s="41"/>
    </row>
    <row r="7" spans="1:6" s="1" customFormat="1">
      <c r="A7" s="578" t="s">
        <v>809</v>
      </c>
      <c r="B7" s="555" t="s">
        <v>983</v>
      </c>
      <c r="C7" s="555" t="s">
        <v>808</v>
      </c>
      <c r="D7" s="556">
        <v>1.0999999999999999E-2</v>
      </c>
      <c r="E7" s="556">
        <v>2.9000000000000001E-2</v>
      </c>
      <c r="F7" s="41"/>
    </row>
    <row r="8" spans="1:6" s="1" customFormat="1" hidden="1">
      <c r="A8" s="578" t="s">
        <v>810</v>
      </c>
      <c r="B8" s="555" t="s">
        <v>811</v>
      </c>
      <c r="C8" s="555" t="s">
        <v>808</v>
      </c>
      <c r="D8" s="556" t="s">
        <v>812</v>
      </c>
      <c r="E8" s="556" t="s">
        <v>812</v>
      </c>
      <c r="F8" s="41"/>
    </row>
    <row r="9" spans="1:6" hidden="1">
      <c r="A9" s="578" t="s">
        <v>813</v>
      </c>
      <c r="B9" s="555" t="s">
        <v>814</v>
      </c>
      <c r="C9" s="555" t="s">
        <v>808</v>
      </c>
      <c r="D9" s="556" t="s">
        <v>812</v>
      </c>
      <c r="E9" s="556" t="s">
        <v>812</v>
      </c>
    </row>
    <row r="10" spans="1:6" ht="13.2">
      <c r="A10" s="557" t="s">
        <v>815</v>
      </c>
      <c r="B10" s="558"/>
      <c r="C10" s="558"/>
      <c r="D10" s="559">
        <f>SUM(D6:D9)</f>
        <v>1</v>
      </c>
      <c r="E10" s="559">
        <f>SUM(E6:E9)</f>
        <v>1</v>
      </c>
    </row>
    <row r="13" spans="1:6">
      <c r="A13" s="706" t="s">
        <v>761</v>
      </c>
      <c r="B13" s="711" t="s">
        <v>762</v>
      </c>
      <c r="C13" s="704" t="s">
        <v>763</v>
      </c>
      <c r="D13" s="704" t="s">
        <v>764</v>
      </c>
      <c r="E13" s="704" t="s">
        <v>765</v>
      </c>
      <c r="F13" s="704" t="s">
        <v>25</v>
      </c>
    </row>
    <row r="14" spans="1:6">
      <c r="A14" s="706"/>
      <c r="B14" s="711"/>
      <c r="C14" s="713"/>
      <c r="D14" s="713" t="s">
        <v>766</v>
      </c>
      <c r="E14" s="713" t="s">
        <v>767</v>
      </c>
      <c r="F14" s="713" t="s">
        <v>768</v>
      </c>
    </row>
    <row r="15" spans="1:6">
      <c r="A15" s="548">
        <v>44926</v>
      </c>
      <c r="B15" s="126">
        <f>SUM(B16:B21)</f>
        <v>11967135</v>
      </c>
      <c r="C15" s="126">
        <f>SUM(C16:C21)</f>
        <v>753320</v>
      </c>
      <c r="D15" s="126">
        <f>SUM(D16:D21)</f>
        <v>284164</v>
      </c>
      <c r="E15" s="126">
        <f>SUM(E16:E21)</f>
        <v>0</v>
      </c>
      <c r="F15" s="126">
        <f>SUM(B15:E15)</f>
        <v>13004619</v>
      </c>
    </row>
    <row r="16" spans="1:6" s="42" customFormat="1">
      <c r="A16" s="549" t="s">
        <v>769</v>
      </c>
      <c r="B16" s="126">
        <v>0</v>
      </c>
      <c r="C16" s="126">
        <v>0</v>
      </c>
      <c r="D16" s="126">
        <v>0</v>
      </c>
      <c r="E16" s="126">
        <v>0</v>
      </c>
      <c r="F16" s="126">
        <f t="shared" ref="F16:F28" si="0">SUM(B16:E16)</f>
        <v>0</v>
      </c>
    </row>
    <row r="17" spans="1:6" s="51" customFormat="1">
      <c r="A17" s="549" t="s">
        <v>770</v>
      </c>
      <c r="B17" s="126">
        <v>1105460</v>
      </c>
      <c r="C17" s="126">
        <v>0</v>
      </c>
      <c r="D17" s="126">
        <v>0</v>
      </c>
      <c r="E17" s="126">
        <v>0</v>
      </c>
      <c r="F17" s="126">
        <f t="shared" si="0"/>
        <v>1105460</v>
      </c>
    </row>
    <row r="18" spans="1:6">
      <c r="A18" s="13" t="s">
        <v>771</v>
      </c>
      <c r="B18" s="126">
        <v>0</v>
      </c>
      <c r="C18" s="126">
        <v>0</v>
      </c>
      <c r="D18" s="126">
        <v>0</v>
      </c>
      <c r="E18" s="126">
        <v>0</v>
      </c>
      <c r="F18" s="126">
        <f t="shared" si="0"/>
        <v>0</v>
      </c>
    </row>
    <row r="19" spans="1:6">
      <c r="A19" s="13" t="s">
        <v>772</v>
      </c>
      <c r="B19" s="126">
        <v>1025807</v>
      </c>
      <c r="C19" s="126">
        <v>753320</v>
      </c>
      <c r="D19" s="126">
        <v>284164</v>
      </c>
      <c r="E19" s="126">
        <v>0</v>
      </c>
      <c r="F19" s="126">
        <f t="shared" si="0"/>
        <v>2063291</v>
      </c>
    </row>
    <row r="20" spans="1:6">
      <c r="A20" s="13" t="s">
        <v>773</v>
      </c>
      <c r="B20" s="126">
        <v>0</v>
      </c>
      <c r="C20" s="126">
        <v>0</v>
      </c>
      <c r="D20" s="126">
        <v>0</v>
      </c>
      <c r="E20" s="126">
        <v>0</v>
      </c>
      <c r="F20" s="126">
        <f t="shared" si="0"/>
        <v>0</v>
      </c>
    </row>
    <row r="21" spans="1:6" s="51" customFormat="1">
      <c r="A21" s="13" t="s">
        <v>315</v>
      </c>
      <c r="B21" s="126">
        <f>Pasywa!D23</f>
        <v>9835868</v>
      </c>
      <c r="C21" s="126">
        <v>0</v>
      </c>
      <c r="D21" s="126">
        <v>0</v>
      </c>
      <c r="E21" s="126">
        <v>0</v>
      </c>
      <c r="F21" s="126">
        <f t="shared" si="0"/>
        <v>9835868</v>
      </c>
    </row>
    <row r="22" spans="1:6">
      <c r="A22" s="548">
        <v>44561</v>
      </c>
      <c r="B22" s="126">
        <f>SUM(B23:B28)</f>
        <v>8238998</v>
      </c>
      <c r="C22" s="126">
        <f>SUM(C23:C28)</f>
        <v>430961</v>
      </c>
      <c r="D22" s="126">
        <f>SUM(D23:D28)</f>
        <v>517684</v>
      </c>
      <c r="E22" s="126">
        <f>SUM(E23:E28)</f>
        <v>0</v>
      </c>
      <c r="F22" s="126">
        <f t="shared" si="0"/>
        <v>9187643</v>
      </c>
    </row>
    <row r="23" spans="1:6">
      <c r="A23" s="549" t="s">
        <v>769</v>
      </c>
      <c r="B23" s="126">
        <v>57186</v>
      </c>
      <c r="C23" s="126">
        <v>0</v>
      </c>
      <c r="D23" s="126">
        <v>0</v>
      </c>
      <c r="E23" s="126">
        <v>0</v>
      </c>
      <c r="F23" s="126">
        <f t="shared" si="0"/>
        <v>57186</v>
      </c>
    </row>
    <row r="24" spans="1:6" s="51" customFormat="1">
      <c r="A24" s="549" t="s">
        <v>770</v>
      </c>
      <c r="B24" s="126">
        <v>40374</v>
      </c>
      <c r="C24" s="126">
        <v>0</v>
      </c>
      <c r="D24" s="126">
        <v>0</v>
      </c>
      <c r="E24" s="126">
        <v>0</v>
      </c>
      <c r="F24" s="126">
        <f t="shared" si="0"/>
        <v>40374</v>
      </c>
    </row>
    <row r="25" spans="1:6">
      <c r="A25" s="13" t="s">
        <v>771</v>
      </c>
      <c r="B25" s="126">
        <v>0</v>
      </c>
      <c r="C25" s="126">
        <v>0</v>
      </c>
      <c r="D25" s="126">
        <v>0</v>
      </c>
      <c r="E25" s="126">
        <v>0</v>
      </c>
      <c r="F25" s="126">
        <f t="shared" si="0"/>
        <v>0</v>
      </c>
    </row>
    <row r="26" spans="1:6">
      <c r="A26" s="13" t="s">
        <v>772</v>
      </c>
      <c r="B26" s="126">
        <v>767409</v>
      </c>
      <c r="C26" s="126">
        <v>430961</v>
      </c>
      <c r="D26" s="126">
        <v>517684</v>
      </c>
      <c r="E26" s="126">
        <v>0</v>
      </c>
      <c r="F26" s="126">
        <f t="shared" si="0"/>
        <v>1716054</v>
      </c>
    </row>
    <row r="27" spans="1:6">
      <c r="A27" s="13" t="s">
        <v>773</v>
      </c>
      <c r="B27" s="126">
        <v>0</v>
      </c>
      <c r="C27" s="126">
        <v>0</v>
      </c>
      <c r="D27" s="126">
        <v>0</v>
      </c>
      <c r="E27" s="126">
        <v>0</v>
      </c>
      <c r="F27" s="126">
        <f t="shared" si="0"/>
        <v>0</v>
      </c>
    </row>
    <row r="28" spans="1:6" s="51" customFormat="1">
      <c r="A28" s="13" t="s">
        <v>315</v>
      </c>
      <c r="B28" s="126">
        <v>7374029</v>
      </c>
      <c r="C28" s="126">
        <v>0</v>
      </c>
      <c r="D28" s="126">
        <v>0</v>
      </c>
      <c r="E28" s="126">
        <v>0</v>
      </c>
      <c r="F28" s="126">
        <f t="shared" si="0"/>
        <v>7374029</v>
      </c>
    </row>
    <row r="33" spans="1:6" s="44" customFormat="1">
      <c r="A33" s="41"/>
      <c r="B33" s="41"/>
      <c r="C33" s="41"/>
      <c r="D33" s="41"/>
      <c r="E33" s="41"/>
      <c r="F33" s="41"/>
    </row>
    <row r="34" spans="1:6" s="343" customFormat="1">
      <c r="A34" s="41"/>
      <c r="B34" s="41"/>
      <c r="C34" s="41"/>
      <c r="D34" s="41"/>
      <c r="E34" s="41"/>
      <c r="F34" s="41"/>
    </row>
    <row r="35" spans="1:6" s="44" customFormat="1">
      <c r="A35" s="41"/>
      <c r="B35" s="41"/>
      <c r="C35" s="41"/>
      <c r="D35" s="41"/>
      <c r="E35" s="41"/>
      <c r="F35" s="41"/>
    </row>
    <row r="36" spans="1:6" s="44" customFormat="1">
      <c r="A36" s="41"/>
      <c r="B36" s="41"/>
      <c r="C36" s="41"/>
      <c r="D36" s="41"/>
      <c r="E36" s="41"/>
      <c r="F36" s="41"/>
    </row>
    <row r="37" spans="1:6" s="44" customFormat="1">
      <c r="A37" s="41"/>
      <c r="B37" s="41"/>
      <c r="C37" s="41"/>
      <c r="D37" s="41"/>
      <c r="E37" s="41"/>
      <c r="F37" s="41"/>
    </row>
    <row r="40" spans="1:6" s="32" customFormat="1" ht="63" customHeight="1">
      <c r="A40" s="41"/>
      <c r="B40" s="41"/>
      <c r="C40" s="41"/>
      <c r="D40" s="41"/>
      <c r="E40" s="41"/>
      <c r="F40" s="41"/>
    </row>
    <row r="41" spans="1:6" s="51" customFormat="1">
      <c r="A41" s="41"/>
      <c r="B41" s="41"/>
      <c r="C41" s="41"/>
      <c r="D41" s="41"/>
      <c r="E41" s="41"/>
      <c r="F41" s="41"/>
    </row>
    <row r="42" spans="1:6" s="195" customFormat="1">
      <c r="A42" s="41"/>
      <c r="B42" s="41"/>
      <c r="C42" s="41"/>
      <c r="D42" s="41"/>
      <c r="E42" s="41"/>
      <c r="F42" s="41"/>
    </row>
    <row r="43" spans="1:6" s="1" customFormat="1">
      <c r="A43" s="41"/>
      <c r="B43" s="41"/>
      <c r="C43" s="41"/>
      <c r="D43" s="41"/>
      <c r="E43" s="41"/>
      <c r="F43" s="41"/>
    </row>
    <row r="44" spans="1:6" s="195" customFormat="1">
      <c r="A44" s="41"/>
      <c r="B44" s="41"/>
      <c r="C44" s="41"/>
      <c r="D44" s="41"/>
      <c r="E44" s="41"/>
      <c r="F44" s="41"/>
    </row>
    <row r="45" spans="1:6" s="1" customFormat="1" hidden="1">
      <c r="A45" s="41"/>
      <c r="B45" s="41"/>
      <c r="C45" s="41"/>
      <c r="D45" s="41"/>
      <c r="E45" s="41"/>
      <c r="F45" s="41"/>
    </row>
    <row r="46" spans="1:6" s="195" customFormat="1" hidden="1">
      <c r="A46" s="41"/>
      <c r="B46" s="41"/>
      <c r="C46" s="41"/>
      <c r="D46" s="41"/>
      <c r="E46" s="41"/>
      <c r="F46" s="41"/>
    </row>
    <row r="47" spans="1:6" s="51" customFormat="1">
      <c r="A47" s="41"/>
      <c r="B47" s="41"/>
      <c r="C47" s="41"/>
      <c r="D47" s="41"/>
      <c r="E47" s="41"/>
      <c r="F47" s="41"/>
    </row>
    <row r="48" spans="1:6" s="195" customFormat="1">
      <c r="A48" s="41"/>
      <c r="B48" s="41"/>
      <c r="C48" s="41"/>
      <c r="D48" s="41"/>
      <c r="E48" s="41"/>
      <c r="F48" s="41"/>
    </row>
    <row r="49" spans="1:6" s="1" customFormat="1">
      <c r="A49" s="41"/>
      <c r="B49" s="41"/>
      <c r="C49" s="41"/>
      <c r="D49" s="41"/>
      <c r="E49" s="41"/>
      <c r="F49" s="41"/>
    </row>
    <row r="50" spans="1:6" s="51" customFormat="1">
      <c r="A50" s="41"/>
      <c r="B50" s="41"/>
      <c r="C50" s="41"/>
      <c r="D50" s="41"/>
      <c r="E50" s="41"/>
      <c r="F50" s="41"/>
    </row>
    <row r="51" spans="1:6" s="1" customFormat="1">
      <c r="A51" s="41"/>
      <c r="B51" s="41"/>
      <c r="C51" s="41"/>
      <c r="D51" s="41"/>
      <c r="E51" s="41"/>
      <c r="F51" s="41"/>
    </row>
    <row r="52" spans="1:6" s="195" customFormat="1">
      <c r="A52" s="41"/>
      <c r="B52" s="41"/>
      <c r="C52" s="41"/>
      <c r="D52" s="41"/>
      <c r="E52" s="41"/>
      <c r="F52" s="41"/>
    </row>
    <row r="53" spans="1:6" s="1" customFormat="1">
      <c r="A53" s="41"/>
      <c r="B53" s="41"/>
      <c r="C53" s="41"/>
      <c r="D53" s="41"/>
      <c r="E53" s="41"/>
      <c r="F53" s="41"/>
    </row>
    <row r="54" spans="1:6" s="195" customFormat="1" hidden="1">
      <c r="A54" s="41"/>
      <c r="B54" s="41"/>
      <c r="C54" s="41"/>
      <c r="D54" s="41"/>
      <c r="E54" s="41"/>
      <c r="F54" s="41"/>
    </row>
    <row r="55" spans="1:6" s="1" customFormat="1" hidden="1">
      <c r="A55" s="41"/>
      <c r="B55" s="41"/>
      <c r="C55" s="41"/>
      <c r="D55" s="41"/>
      <c r="E55" s="41"/>
      <c r="F55" s="41"/>
    </row>
    <row r="56" spans="1:6" s="51" customFormat="1">
      <c r="A56" s="41"/>
      <c r="B56" s="41"/>
      <c r="C56" s="41"/>
      <c r="D56" s="41"/>
      <c r="E56" s="41"/>
      <c r="F56" s="41"/>
    </row>
    <row r="57" spans="1:6" s="195" customFormat="1">
      <c r="A57" s="41"/>
      <c r="B57" s="41"/>
      <c r="C57" s="41"/>
      <c r="D57" s="41"/>
      <c r="E57" s="41"/>
      <c r="F57" s="41"/>
    </row>
    <row r="58" spans="1:6" s="195" customFormat="1">
      <c r="A58" s="41"/>
      <c r="B58" s="41"/>
      <c r="C58" s="41"/>
      <c r="D58" s="41"/>
      <c r="E58" s="41"/>
      <c r="F58" s="41"/>
    </row>
    <row r="63" spans="1:6" s="44" customFormat="1"/>
  </sheetData>
  <mergeCells count="6">
    <mergeCell ref="F13:F14"/>
    <mergeCell ref="A13:A14"/>
    <mergeCell ref="B13:B14"/>
    <mergeCell ref="C13:C14"/>
    <mergeCell ref="D13:D14"/>
    <mergeCell ref="E13:E14"/>
  </mergeCells>
  <pageMargins left="0.75" right="0.75" top="1" bottom="1" header="0.5" footer="0.5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view="pageBreakPreview" zoomScaleNormal="100" zoomScaleSheetLayoutView="100" workbookViewId="0">
      <selection activeCell="A13" sqref="A13:D18"/>
    </sheetView>
  </sheetViews>
  <sheetFormatPr defaultColWidth="9.33203125" defaultRowHeight="10.199999999999999"/>
  <cols>
    <col min="1" max="1" width="35.88671875" style="41" customWidth="1"/>
    <col min="2" max="2" width="46.109375" style="41" customWidth="1"/>
    <col min="3" max="3" width="12.88671875" style="41" customWidth="1"/>
    <col min="4" max="4" width="34.109375" style="41" customWidth="1"/>
    <col min="5" max="5" width="12.5546875" style="41" customWidth="1"/>
    <col min="6" max="6" width="11.6640625" style="41" customWidth="1"/>
    <col min="7" max="7" width="19" style="41" customWidth="1"/>
    <col min="8" max="16384" width="9.33203125" style="41"/>
  </cols>
  <sheetData>
    <row r="1" spans="1:12" s="44" customFormat="1">
      <c r="A1" s="172"/>
    </row>
    <row r="2" spans="1:12">
      <c r="A2" s="172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3.2">
      <c r="A3" s="381" t="s">
        <v>928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s="1" customForma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0.8" thickBot="1">
      <c r="A5" s="506">
        <v>44926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0.8" thickBot="1">
      <c r="A6" s="562" t="s">
        <v>817</v>
      </c>
      <c r="B6" s="563" t="s">
        <v>818</v>
      </c>
      <c r="C6" s="594" t="s">
        <v>819</v>
      </c>
      <c r="D6" s="564" t="s">
        <v>710</v>
      </c>
      <c r="E6" s="44"/>
      <c r="F6" s="44"/>
      <c r="G6" s="44"/>
      <c r="H6" s="44"/>
      <c r="I6" s="44"/>
      <c r="J6" s="44"/>
      <c r="K6" s="44"/>
      <c r="L6" s="44"/>
    </row>
    <row r="7" spans="1:12" ht="10.8" thickBot="1">
      <c r="A7" s="565" t="s">
        <v>876</v>
      </c>
      <c r="B7" s="566" t="s">
        <v>820</v>
      </c>
      <c r="C7" s="596">
        <v>0</v>
      </c>
      <c r="D7" s="567" t="s">
        <v>292</v>
      </c>
      <c r="E7" s="44"/>
      <c r="F7" s="44"/>
      <c r="G7" s="44"/>
      <c r="H7" s="44"/>
      <c r="I7" s="44"/>
      <c r="J7" s="44"/>
      <c r="K7" s="44"/>
      <c r="L7" s="44"/>
    </row>
    <row r="8" spans="1:12" ht="10.8" thickBot="1">
      <c r="A8" s="565" t="s">
        <v>876</v>
      </c>
      <c r="B8" s="566" t="s">
        <v>820</v>
      </c>
      <c r="C8" s="596">
        <v>140443</v>
      </c>
      <c r="D8" s="567" t="s">
        <v>291</v>
      </c>
      <c r="E8" s="44"/>
      <c r="F8" s="44"/>
      <c r="G8" s="44"/>
      <c r="H8" s="44"/>
      <c r="I8" s="44"/>
      <c r="J8" s="44"/>
      <c r="K8" s="44"/>
      <c r="L8" s="44"/>
    </row>
    <row r="9" spans="1:12" ht="10.8" thickBot="1">
      <c r="A9" s="565" t="s">
        <v>877</v>
      </c>
      <c r="B9" s="566" t="s">
        <v>820</v>
      </c>
      <c r="C9" s="596">
        <v>0</v>
      </c>
      <c r="D9" s="567" t="s">
        <v>318</v>
      </c>
      <c r="E9" s="44"/>
      <c r="F9" s="44"/>
      <c r="G9" s="44"/>
      <c r="H9" s="44"/>
      <c r="I9" s="44"/>
      <c r="J9" s="44"/>
      <c r="K9" s="44"/>
      <c r="L9" s="44"/>
    </row>
    <row r="10" spans="1:12" ht="13.8" thickBot="1">
      <c r="A10" s="568" t="s">
        <v>25</v>
      </c>
      <c r="B10" s="569"/>
      <c r="C10" s="595">
        <f>SUM(C7:C9)</f>
        <v>140443</v>
      </c>
      <c r="D10" s="570"/>
      <c r="E10" s="44"/>
      <c r="F10" s="44"/>
      <c r="G10" s="44"/>
      <c r="H10" s="44"/>
      <c r="I10" s="44"/>
      <c r="J10" s="44"/>
      <c r="K10" s="44"/>
      <c r="L10" s="44"/>
    </row>
    <row r="11" spans="1:1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2" ht="10.8" thickBot="1">
      <c r="A13" s="506">
        <v>44561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10.8" thickBot="1">
      <c r="A14" s="562" t="s">
        <v>817</v>
      </c>
      <c r="B14" s="563" t="s">
        <v>818</v>
      </c>
      <c r="C14" s="594" t="s">
        <v>819</v>
      </c>
      <c r="D14" s="564" t="s">
        <v>710</v>
      </c>
      <c r="E14" s="44"/>
      <c r="F14" s="44"/>
      <c r="G14" s="44"/>
      <c r="H14" s="44"/>
      <c r="I14" s="44"/>
      <c r="J14" s="44"/>
      <c r="K14" s="44"/>
      <c r="L14" s="44" t="s">
        <v>875</v>
      </c>
    </row>
    <row r="15" spans="1:12" s="44" customFormat="1" ht="10.8" thickBot="1">
      <c r="A15" s="565" t="s">
        <v>876</v>
      </c>
      <c r="B15" s="566" t="s">
        <v>820</v>
      </c>
      <c r="C15" s="596">
        <v>140443</v>
      </c>
      <c r="D15" s="567" t="s">
        <v>292</v>
      </c>
      <c r="G15" s="343"/>
      <c r="I15" s="343"/>
      <c r="J15" s="343"/>
      <c r="K15" s="343"/>
      <c r="L15" s="343">
        <v>0</v>
      </c>
    </row>
    <row r="16" spans="1:12" s="44" customFormat="1" ht="10.8" thickBot="1">
      <c r="A16" s="565" t="s">
        <v>876</v>
      </c>
      <c r="B16" s="566" t="s">
        <v>820</v>
      </c>
      <c r="C16" s="596">
        <v>281228</v>
      </c>
      <c r="D16" s="567" t="s">
        <v>291</v>
      </c>
      <c r="G16" s="343"/>
      <c r="I16" s="343"/>
      <c r="J16" s="343"/>
      <c r="K16" s="343"/>
      <c r="L16" s="343"/>
    </row>
    <row r="17" spans="1:12" s="343" customFormat="1" ht="10.8" thickBot="1">
      <c r="A17" s="565" t="s">
        <v>877</v>
      </c>
      <c r="B17" s="566" t="s">
        <v>820</v>
      </c>
      <c r="C17" s="596">
        <v>961261</v>
      </c>
      <c r="D17" s="567" t="s">
        <v>318</v>
      </c>
      <c r="E17" s="44"/>
      <c r="F17" s="44"/>
      <c r="H17" s="44"/>
      <c r="L17" s="343">
        <v>0</v>
      </c>
    </row>
    <row r="18" spans="1:12" s="44" customFormat="1" ht="13.8" thickBot="1">
      <c r="A18" s="568" t="s">
        <v>25</v>
      </c>
      <c r="B18" s="569"/>
      <c r="C18" s="595">
        <f>SUM(C15:C17)</f>
        <v>1382932</v>
      </c>
      <c r="D18" s="570"/>
    </row>
    <row r="19" spans="1:12" s="51" customFormat="1">
      <c r="A19" s="41"/>
      <c r="B19" s="41"/>
      <c r="C19" s="41"/>
      <c r="D19" s="41"/>
      <c r="E19" s="41"/>
      <c r="F19" s="41"/>
    </row>
    <row r="20" spans="1:12" s="195" customFormat="1">
      <c r="A20" s="41"/>
      <c r="B20" s="41"/>
      <c r="C20" s="41"/>
      <c r="D20" s="41"/>
      <c r="E20" s="41"/>
      <c r="F20" s="41"/>
    </row>
    <row r="21" spans="1:12" s="195" customFormat="1">
      <c r="A21" s="41"/>
      <c r="B21" s="41"/>
      <c r="C21" s="41"/>
      <c r="D21" s="41"/>
      <c r="E21" s="41"/>
      <c r="F21" s="41"/>
    </row>
    <row r="26" spans="1:12" s="44" customFormat="1"/>
  </sheetData>
  <pageMargins left="0.75" right="0.75" top="1" bottom="1" header="0.5" footer="0.5"/>
  <pageSetup paperSize="9" scale="6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/>
  <dimension ref="A1:C16"/>
  <sheetViews>
    <sheetView showGridLines="0" view="pageBreakPreview" zoomScaleNormal="100" zoomScaleSheetLayoutView="100" workbookViewId="0">
      <selection activeCell="A5" sqref="A5:C16"/>
    </sheetView>
  </sheetViews>
  <sheetFormatPr defaultColWidth="9.33203125" defaultRowHeight="10.199999999999999"/>
  <cols>
    <col min="1" max="1" width="42.6640625" style="195" customWidth="1"/>
    <col min="2" max="3" width="15.44140625" style="195" customWidth="1"/>
    <col min="4" max="4" width="15.6640625" style="195" customWidth="1"/>
    <col min="5" max="16384" width="9.33203125" style="195"/>
  </cols>
  <sheetData>
    <row r="1" spans="1:3" s="44" customFormat="1">
      <c r="A1" s="172"/>
    </row>
    <row r="2" spans="1:3" s="41" customFormat="1" ht="13.2">
      <c r="A2" s="381" t="s">
        <v>929</v>
      </c>
    </row>
    <row r="3" spans="1:3" s="41" customFormat="1"/>
    <row r="4" spans="1:3" s="1" customFormat="1">
      <c r="A4" s="41"/>
      <c r="B4" s="699"/>
      <c r="C4" s="699"/>
    </row>
    <row r="5" spans="1:3" s="41" customFormat="1">
      <c r="A5" s="99" t="s">
        <v>294</v>
      </c>
      <c r="B5" s="416">
        <f>'Dane podstawowe'!$B$9</f>
        <v>44926</v>
      </c>
      <c r="C5" s="416">
        <f>'Dane podstawowe'!$B$14</f>
        <v>44561</v>
      </c>
    </row>
    <row r="6" spans="1:3">
      <c r="A6" s="43" t="s">
        <v>288</v>
      </c>
      <c r="B6" s="197">
        <f>(Pasywa!D13+Pasywa!D21)</f>
        <v>1259575</v>
      </c>
      <c r="C6" s="197">
        <f>(Pasywa!E13+Pasywa!E21)</f>
        <v>546904</v>
      </c>
    </row>
    <row r="7" spans="1:3" s="1" customFormat="1" ht="20.399999999999999">
      <c r="A7" s="2" t="s">
        <v>290</v>
      </c>
      <c r="B7" s="79">
        <f>(Pasywa!D23+Pasywa!D25)</f>
        <v>12672373</v>
      </c>
      <c r="C7" s="79">
        <f>(Pasywa!E23+Pasywa!E25)</f>
        <v>9508775</v>
      </c>
    </row>
    <row r="8" spans="1:3">
      <c r="A8" s="43" t="s">
        <v>56</v>
      </c>
      <c r="B8" s="197">
        <f>Aktywa!D23</f>
        <v>4234002</v>
      </c>
      <c r="C8" s="197">
        <f>Aktywa!E23</f>
        <v>3962062</v>
      </c>
    </row>
    <row r="9" spans="1:3" s="41" customFormat="1">
      <c r="A9" s="35" t="s">
        <v>57</v>
      </c>
      <c r="B9" s="88">
        <f>B6+B7-B8</f>
        <v>9697946</v>
      </c>
      <c r="C9" s="88">
        <f>C6+C7-C8</f>
        <v>6093617</v>
      </c>
    </row>
    <row r="10" spans="1:3">
      <c r="A10" s="714"/>
      <c r="B10" s="715"/>
      <c r="C10" s="715"/>
    </row>
    <row r="11" spans="1:3" s="1" customFormat="1">
      <c r="A11" s="2" t="s">
        <v>289</v>
      </c>
      <c r="B11" s="79"/>
      <c r="C11" s="79"/>
    </row>
    <row r="12" spans="1:3">
      <c r="A12" s="43" t="s">
        <v>58</v>
      </c>
      <c r="B12" s="197">
        <f>Pasywa!D3</f>
        <v>21362588</v>
      </c>
      <c r="C12" s="197">
        <f>Pasywa!E3</f>
        <v>22032314</v>
      </c>
    </row>
    <row r="13" spans="1:3" s="1" customFormat="1">
      <c r="A13" s="2" t="s">
        <v>59</v>
      </c>
      <c r="B13" s="79"/>
      <c r="C13" s="79"/>
    </row>
    <row r="14" spans="1:3" s="41" customFormat="1">
      <c r="A14" s="35" t="s">
        <v>60</v>
      </c>
      <c r="B14" s="88">
        <f>B13+B12+B11</f>
        <v>21362588</v>
      </c>
      <c r="C14" s="88">
        <f>C13+C12+C11</f>
        <v>22032314</v>
      </c>
    </row>
    <row r="15" spans="1:3" s="41" customFormat="1">
      <c r="A15" s="56" t="s">
        <v>61</v>
      </c>
      <c r="B15" s="88">
        <f>B14+B9</f>
        <v>31060534</v>
      </c>
      <c r="C15" s="88">
        <f>C14+C9</f>
        <v>28125931</v>
      </c>
    </row>
    <row r="16" spans="1:3">
      <c r="A16" s="43" t="s">
        <v>62</v>
      </c>
      <c r="B16" s="413">
        <f>B9/B15</f>
        <v>0.31222727851362764</v>
      </c>
      <c r="C16" s="413">
        <f>C9/C15</f>
        <v>0.21665476602356737</v>
      </c>
    </row>
  </sheetData>
  <mergeCells count="2">
    <mergeCell ref="B4:C4"/>
    <mergeCell ref="A10:C10"/>
  </mergeCells>
  <phoneticPr fontId="37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zoomScaleNormal="100" zoomScaleSheetLayoutView="100" workbookViewId="0">
      <selection activeCell="D23" sqref="D23"/>
    </sheetView>
  </sheetViews>
  <sheetFormatPr defaultColWidth="9.33203125" defaultRowHeight="13.2"/>
  <cols>
    <col min="1" max="1" width="45.44140625" style="514" customWidth="1"/>
    <col min="2" max="2" width="15.44140625" style="512" customWidth="1"/>
    <col min="3" max="5" width="15.44140625" style="513" customWidth="1"/>
    <col min="6" max="6" width="15.44140625" style="512" customWidth="1"/>
    <col min="7" max="12" width="15.44140625" style="513" customWidth="1"/>
    <col min="13" max="13" width="14.33203125" style="514" customWidth="1"/>
    <col min="14" max="256" width="9.33203125" style="514"/>
    <col min="257" max="257" width="44.33203125" style="514" customWidth="1"/>
    <col min="258" max="268" width="15.44140625" style="514" customWidth="1"/>
    <col min="269" max="269" width="14.33203125" style="514" customWidth="1"/>
    <col min="270" max="512" width="9.33203125" style="514"/>
    <col min="513" max="513" width="44.33203125" style="514" customWidth="1"/>
    <col min="514" max="524" width="15.44140625" style="514" customWidth="1"/>
    <col min="525" max="525" width="14.33203125" style="514" customWidth="1"/>
    <col min="526" max="768" width="9.33203125" style="514"/>
    <col min="769" max="769" width="44.33203125" style="514" customWidth="1"/>
    <col min="770" max="780" width="15.44140625" style="514" customWidth="1"/>
    <col min="781" max="781" width="14.33203125" style="514" customWidth="1"/>
    <col min="782" max="1024" width="9.33203125" style="514"/>
    <col min="1025" max="1025" width="44.33203125" style="514" customWidth="1"/>
    <col min="1026" max="1036" width="15.44140625" style="514" customWidth="1"/>
    <col min="1037" max="1037" width="14.33203125" style="514" customWidth="1"/>
    <col min="1038" max="1280" width="9.33203125" style="514"/>
    <col min="1281" max="1281" width="44.33203125" style="514" customWidth="1"/>
    <col min="1282" max="1292" width="15.44140625" style="514" customWidth="1"/>
    <col min="1293" max="1293" width="14.33203125" style="514" customWidth="1"/>
    <col min="1294" max="1536" width="9.33203125" style="514"/>
    <col min="1537" max="1537" width="44.33203125" style="514" customWidth="1"/>
    <col min="1538" max="1548" width="15.44140625" style="514" customWidth="1"/>
    <col min="1549" max="1549" width="14.33203125" style="514" customWidth="1"/>
    <col min="1550" max="1792" width="9.33203125" style="514"/>
    <col min="1793" max="1793" width="44.33203125" style="514" customWidth="1"/>
    <col min="1794" max="1804" width="15.44140625" style="514" customWidth="1"/>
    <col min="1805" max="1805" width="14.33203125" style="514" customWidth="1"/>
    <col min="1806" max="2048" width="9.33203125" style="514"/>
    <col min="2049" max="2049" width="44.33203125" style="514" customWidth="1"/>
    <col min="2050" max="2060" width="15.44140625" style="514" customWidth="1"/>
    <col min="2061" max="2061" width="14.33203125" style="514" customWidth="1"/>
    <col min="2062" max="2304" width="9.33203125" style="514"/>
    <col min="2305" max="2305" width="44.33203125" style="514" customWidth="1"/>
    <col min="2306" max="2316" width="15.44140625" style="514" customWidth="1"/>
    <col min="2317" max="2317" width="14.33203125" style="514" customWidth="1"/>
    <col min="2318" max="2560" width="9.33203125" style="514"/>
    <col min="2561" max="2561" width="44.33203125" style="514" customWidth="1"/>
    <col min="2562" max="2572" width="15.44140625" style="514" customWidth="1"/>
    <col min="2573" max="2573" width="14.33203125" style="514" customWidth="1"/>
    <col min="2574" max="2816" width="9.33203125" style="514"/>
    <col min="2817" max="2817" width="44.33203125" style="514" customWidth="1"/>
    <col min="2818" max="2828" width="15.44140625" style="514" customWidth="1"/>
    <col min="2829" max="2829" width="14.33203125" style="514" customWidth="1"/>
    <col min="2830" max="3072" width="9.33203125" style="514"/>
    <col min="3073" max="3073" width="44.33203125" style="514" customWidth="1"/>
    <col min="3074" max="3084" width="15.44140625" style="514" customWidth="1"/>
    <col min="3085" max="3085" width="14.33203125" style="514" customWidth="1"/>
    <col min="3086" max="3328" width="9.33203125" style="514"/>
    <col min="3329" max="3329" width="44.33203125" style="514" customWidth="1"/>
    <col min="3330" max="3340" width="15.44140625" style="514" customWidth="1"/>
    <col min="3341" max="3341" width="14.33203125" style="514" customWidth="1"/>
    <col min="3342" max="3584" width="9.33203125" style="514"/>
    <col min="3585" max="3585" width="44.33203125" style="514" customWidth="1"/>
    <col min="3586" max="3596" width="15.44140625" style="514" customWidth="1"/>
    <col min="3597" max="3597" width="14.33203125" style="514" customWidth="1"/>
    <col min="3598" max="3840" width="9.33203125" style="514"/>
    <col min="3841" max="3841" width="44.33203125" style="514" customWidth="1"/>
    <col min="3842" max="3852" width="15.44140625" style="514" customWidth="1"/>
    <col min="3853" max="3853" width="14.33203125" style="514" customWidth="1"/>
    <col min="3854" max="4096" width="9.33203125" style="514"/>
    <col min="4097" max="4097" width="44.33203125" style="514" customWidth="1"/>
    <col min="4098" max="4108" width="15.44140625" style="514" customWidth="1"/>
    <col min="4109" max="4109" width="14.33203125" style="514" customWidth="1"/>
    <col min="4110" max="4352" width="9.33203125" style="514"/>
    <col min="4353" max="4353" width="44.33203125" style="514" customWidth="1"/>
    <col min="4354" max="4364" width="15.44140625" style="514" customWidth="1"/>
    <col min="4365" max="4365" width="14.33203125" style="514" customWidth="1"/>
    <col min="4366" max="4608" width="9.33203125" style="514"/>
    <col min="4609" max="4609" width="44.33203125" style="514" customWidth="1"/>
    <col min="4610" max="4620" width="15.44140625" style="514" customWidth="1"/>
    <col min="4621" max="4621" width="14.33203125" style="514" customWidth="1"/>
    <col min="4622" max="4864" width="9.33203125" style="514"/>
    <col min="4865" max="4865" width="44.33203125" style="514" customWidth="1"/>
    <col min="4866" max="4876" width="15.44140625" style="514" customWidth="1"/>
    <col min="4877" max="4877" width="14.33203125" style="514" customWidth="1"/>
    <col min="4878" max="5120" width="9.33203125" style="514"/>
    <col min="5121" max="5121" width="44.33203125" style="514" customWidth="1"/>
    <col min="5122" max="5132" width="15.44140625" style="514" customWidth="1"/>
    <col min="5133" max="5133" width="14.33203125" style="514" customWidth="1"/>
    <col min="5134" max="5376" width="9.33203125" style="514"/>
    <col min="5377" max="5377" width="44.33203125" style="514" customWidth="1"/>
    <col min="5378" max="5388" width="15.44140625" style="514" customWidth="1"/>
    <col min="5389" max="5389" width="14.33203125" style="514" customWidth="1"/>
    <col min="5390" max="5632" width="9.33203125" style="514"/>
    <col min="5633" max="5633" width="44.33203125" style="514" customWidth="1"/>
    <col min="5634" max="5644" width="15.44140625" style="514" customWidth="1"/>
    <col min="5645" max="5645" width="14.33203125" style="514" customWidth="1"/>
    <col min="5646" max="5888" width="9.33203125" style="514"/>
    <col min="5889" max="5889" width="44.33203125" style="514" customWidth="1"/>
    <col min="5890" max="5900" width="15.44140625" style="514" customWidth="1"/>
    <col min="5901" max="5901" width="14.33203125" style="514" customWidth="1"/>
    <col min="5902" max="6144" width="9.33203125" style="514"/>
    <col min="6145" max="6145" width="44.33203125" style="514" customWidth="1"/>
    <col min="6146" max="6156" width="15.44140625" style="514" customWidth="1"/>
    <col min="6157" max="6157" width="14.33203125" style="514" customWidth="1"/>
    <col min="6158" max="6400" width="9.33203125" style="514"/>
    <col min="6401" max="6401" width="44.33203125" style="514" customWidth="1"/>
    <col min="6402" max="6412" width="15.44140625" style="514" customWidth="1"/>
    <col min="6413" max="6413" width="14.33203125" style="514" customWidth="1"/>
    <col min="6414" max="6656" width="9.33203125" style="514"/>
    <col min="6657" max="6657" width="44.33203125" style="514" customWidth="1"/>
    <col min="6658" max="6668" width="15.44140625" style="514" customWidth="1"/>
    <col min="6669" max="6669" width="14.33203125" style="514" customWidth="1"/>
    <col min="6670" max="6912" width="9.33203125" style="514"/>
    <col min="6913" max="6913" width="44.33203125" style="514" customWidth="1"/>
    <col min="6914" max="6924" width="15.44140625" style="514" customWidth="1"/>
    <col min="6925" max="6925" width="14.33203125" style="514" customWidth="1"/>
    <col min="6926" max="7168" width="9.33203125" style="514"/>
    <col min="7169" max="7169" width="44.33203125" style="514" customWidth="1"/>
    <col min="7170" max="7180" width="15.44140625" style="514" customWidth="1"/>
    <col min="7181" max="7181" width="14.33203125" style="514" customWidth="1"/>
    <col min="7182" max="7424" width="9.33203125" style="514"/>
    <col min="7425" max="7425" width="44.33203125" style="514" customWidth="1"/>
    <col min="7426" max="7436" width="15.44140625" style="514" customWidth="1"/>
    <col min="7437" max="7437" width="14.33203125" style="514" customWidth="1"/>
    <col min="7438" max="7680" width="9.33203125" style="514"/>
    <col min="7681" max="7681" width="44.33203125" style="514" customWidth="1"/>
    <col min="7682" max="7692" width="15.44140625" style="514" customWidth="1"/>
    <col min="7693" max="7693" width="14.33203125" style="514" customWidth="1"/>
    <col min="7694" max="7936" width="9.33203125" style="514"/>
    <col min="7937" max="7937" width="44.33203125" style="514" customWidth="1"/>
    <col min="7938" max="7948" width="15.44140625" style="514" customWidth="1"/>
    <col min="7949" max="7949" width="14.33203125" style="514" customWidth="1"/>
    <col min="7950" max="8192" width="9.33203125" style="514"/>
    <col min="8193" max="8193" width="44.33203125" style="514" customWidth="1"/>
    <col min="8194" max="8204" width="15.44140625" style="514" customWidth="1"/>
    <col min="8205" max="8205" width="14.33203125" style="514" customWidth="1"/>
    <col min="8206" max="8448" width="9.33203125" style="514"/>
    <col min="8449" max="8449" width="44.33203125" style="514" customWidth="1"/>
    <col min="8450" max="8460" width="15.44140625" style="514" customWidth="1"/>
    <col min="8461" max="8461" width="14.33203125" style="514" customWidth="1"/>
    <col min="8462" max="8704" width="9.33203125" style="514"/>
    <col min="8705" max="8705" width="44.33203125" style="514" customWidth="1"/>
    <col min="8706" max="8716" width="15.44140625" style="514" customWidth="1"/>
    <col min="8717" max="8717" width="14.33203125" style="514" customWidth="1"/>
    <col min="8718" max="8960" width="9.33203125" style="514"/>
    <col min="8961" max="8961" width="44.33203125" style="514" customWidth="1"/>
    <col min="8962" max="8972" width="15.44140625" style="514" customWidth="1"/>
    <col min="8973" max="8973" width="14.33203125" style="514" customWidth="1"/>
    <col min="8974" max="9216" width="9.33203125" style="514"/>
    <col min="9217" max="9217" width="44.33203125" style="514" customWidth="1"/>
    <col min="9218" max="9228" width="15.44140625" style="514" customWidth="1"/>
    <col min="9229" max="9229" width="14.33203125" style="514" customWidth="1"/>
    <col min="9230" max="9472" width="9.33203125" style="514"/>
    <col min="9473" max="9473" width="44.33203125" style="514" customWidth="1"/>
    <col min="9474" max="9484" width="15.44140625" style="514" customWidth="1"/>
    <col min="9485" max="9485" width="14.33203125" style="514" customWidth="1"/>
    <col min="9486" max="9728" width="9.33203125" style="514"/>
    <col min="9729" max="9729" width="44.33203125" style="514" customWidth="1"/>
    <col min="9730" max="9740" width="15.44140625" style="514" customWidth="1"/>
    <col min="9741" max="9741" width="14.33203125" style="514" customWidth="1"/>
    <col min="9742" max="9984" width="9.33203125" style="514"/>
    <col min="9985" max="9985" width="44.33203125" style="514" customWidth="1"/>
    <col min="9986" max="9996" width="15.44140625" style="514" customWidth="1"/>
    <col min="9997" max="9997" width="14.33203125" style="514" customWidth="1"/>
    <col min="9998" max="10240" width="9.33203125" style="514"/>
    <col min="10241" max="10241" width="44.33203125" style="514" customWidth="1"/>
    <col min="10242" max="10252" width="15.44140625" style="514" customWidth="1"/>
    <col min="10253" max="10253" width="14.33203125" style="514" customWidth="1"/>
    <col min="10254" max="10496" width="9.33203125" style="514"/>
    <col min="10497" max="10497" width="44.33203125" style="514" customWidth="1"/>
    <col min="10498" max="10508" width="15.44140625" style="514" customWidth="1"/>
    <col min="10509" max="10509" width="14.33203125" style="514" customWidth="1"/>
    <col min="10510" max="10752" width="9.33203125" style="514"/>
    <col min="10753" max="10753" width="44.33203125" style="514" customWidth="1"/>
    <col min="10754" max="10764" width="15.44140625" style="514" customWidth="1"/>
    <col min="10765" max="10765" width="14.33203125" style="514" customWidth="1"/>
    <col min="10766" max="11008" width="9.33203125" style="514"/>
    <col min="11009" max="11009" width="44.33203125" style="514" customWidth="1"/>
    <col min="11010" max="11020" width="15.44140625" style="514" customWidth="1"/>
    <col min="11021" max="11021" width="14.33203125" style="514" customWidth="1"/>
    <col min="11022" max="11264" width="9.33203125" style="514"/>
    <col min="11265" max="11265" width="44.33203125" style="514" customWidth="1"/>
    <col min="11266" max="11276" width="15.44140625" style="514" customWidth="1"/>
    <col min="11277" max="11277" width="14.33203125" style="514" customWidth="1"/>
    <col min="11278" max="11520" width="9.33203125" style="514"/>
    <col min="11521" max="11521" width="44.33203125" style="514" customWidth="1"/>
    <col min="11522" max="11532" width="15.44140625" style="514" customWidth="1"/>
    <col min="11533" max="11533" width="14.33203125" style="514" customWidth="1"/>
    <col min="11534" max="11776" width="9.33203125" style="514"/>
    <col min="11777" max="11777" width="44.33203125" style="514" customWidth="1"/>
    <col min="11778" max="11788" width="15.44140625" style="514" customWidth="1"/>
    <col min="11789" max="11789" width="14.33203125" style="514" customWidth="1"/>
    <col min="11790" max="12032" width="9.33203125" style="514"/>
    <col min="12033" max="12033" width="44.33203125" style="514" customWidth="1"/>
    <col min="12034" max="12044" width="15.44140625" style="514" customWidth="1"/>
    <col min="12045" max="12045" width="14.33203125" style="514" customWidth="1"/>
    <col min="12046" max="12288" width="9.33203125" style="514"/>
    <col min="12289" max="12289" width="44.33203125" style="514" customWidth="1"/>
    <col min="12290" max="12300" width="15.44140625" style="514" customWidth="1"/>
    <col min="12301" max="12301" width="14.33203125" style="514" customWidth="1"/>
    <col min="12302" max="12544" width="9.33203125" style="514"/>
    <col min="12545" max="12545" width="44.33203125" style="514" customWidth="1"/>
    <col min="12546" max="12556" width="15.44140625" style="514" customWidth="1"/>
    <col min="12557" max="12557" width="14.33203125" style="514" customWidth="1"/>
    <col min="12558" max="12800" width="9.33203125" style="514"/>
    <col min="12801" max="12801" width="44.33203125" style="514" customWidth="1"/>
    <col min="12802" max="12812" width="15.44140625" style="514" customWidth="1"/>
    <col min="12813" max="12813" width="14.33203125" style="514" customWidth="1"/>
    <col min="12814" max="13056" width="9.33203125" style="514"/>
    <col min="13057" max="13057" width="44.33203125" style="514" customWidth="1"/>
    <col min="13058" max="13068" width="15.44140625" style="514" customWidth="1"/>
    <col min="13069" max="13069" width="14.33203125" style="514" customWidth="1"/>
    <col min="13070" max="13312" width="9.33203125" style="514"/>
    <col min="13313" max="13313" width="44.33203125" style="514" customWidth="1"/>
    <col min="13314" max="13324" width="15.44140625" style="514" customWidth="1"/>
    <col min="13325" max="13325" width="14.33203125" style="514" customWidth="1"/>
    <col min="13326" max="13568" width="9.33203125" style="514"/>
    <col min="13569" max="13569" width="44.33203125" style="514" customWidth="1"/>
    <col min="13570" max="13580" width="15.44140625" style="514" customWidth="1"/>
    <col min="13581" max="13581" width="14.33203125" style="514" customWidth="1"/>
    <col min="13582" max="13824" width="9.33203125" style="514"/>
    <col min="13825" max="13825" width="44.33203125" style="514" customWidth="1"/>
    <col min="13826" max="13836" width="15.44140625" style="514" customWidth="1"/>
    <col min="13837" max="13837" width="14.33203125" style="514" customWidth="1"/>
    <col min="13838" max="14080" width="9.33203125" style="514"/>
    <col min="14081" max="14081" width="44.33203125" style="514" customWidth="1"/>
    <col min="14082" max="14092" width="15.44140625" style="514" customWidth="1"/>
    <col min="14093" max="14093" width="14.33203125" style="514" customWidth="1"/>
    <col min="14094" max="14336" width="9.33203125" style="514"/>
    <col min="14337" max="14337" width="44.33203125" style="514" customWidth="1"/>
    <col min="14338" max="14348" width="15.44140625" style="514" customWidth="1"/>
    <col min="14349" max="14349" width="14.33203125" style="514" customWidth="1"/>
    <col min="14350" max="14592" width="9.33203125" style="514"/>
    <col min="14593" max="14593" width="44.33203125" style="514" customWidth="1"/>
    <col min="14594" max="14604" width="15.44140625" style="514" customWidth="1"/>
    <col min="14605" max="14605" width="14.33203125" style="514" customWidth="1"/>
    <col min="14606" max="14848" width="9.33203125" style="514"/>
    <col min="14849" max="14849" width="44.33203125" style="514" customWidth="1"/>
    <col min="14850" max="14860" width="15.44140625" style="514" customWidth="1"/>
    <col min="14861" max="14861" width="14.33203125" style="514" customWidth="1"/>
    <col min="14862" max="15104" width="9.33203125" style="514"/>
    <col min="15105" max="15105" width="44.33203125" style="514" customWidth="1"/>
    <col min="15106" max="15116" width="15.44140625" style="514" customWidth="1"/>
    <col min="15117" max="15117" width="14.33203125" style="514" customWidth="1"/>
    <col min="15118" max="15360" width="9.33203125" style="514"/>
    <col min="15361" max="15361" width="44.33203125" style="514" customWidth="1"/>
    <col min="15362" max="15372" width="15.44140625" style="514" customWidth="1"/>
    <col min="15373" max="15373" width="14.33203125" style="514" customWidth="1"/>
    <col min="15374" max="15616" width="9.33203125" style="514"/>
    <col min="15617" max="15617" width="44.33203125" style="514" customWidth="1"/>
    <col min="15618" max="15628" width="15.44140625" style="514" customWidth="1"/>
    <col min="15629" max="15629" width="14.33203125" style="514" customWidth="1"/>
    <col min="15630" max="15872" width="9.33203125" style="514"/>
    <col min="15873" max="15873" width="44.33203125" style="514" customWidth="1"/>
    <col min="15874" max="15884" width="15.44140625" style="514" customWidth="1"/>
    <col min="15885" max="15885" width="14.33203125" style="514" customWidth="1"/>
    <col min="15886" max="16128" width="9.33203125" style="514"/>
    <col min="16129" max="16129" width="44.33203125" style="514" customWidth="1"/>
    <col min="16130" max="16140" width="15.44140625" style="514" customWidth="1"/>
    <col min="16141" max="16141" width="14.33203125" style="514" customWidth="1"/>
    <col min="16142" max="16384" width="9.33203125" style="514"/>
  </cols>
  <sheetData>
    <row r="1" spans="1:12">
      <c r="A1" s="511"/>
    </row>
    <row r="2" spans="1:12" s="517" customFormat="1">
      <c r="A2" s="716" t="s">
        <v>680</v>
      </c>
      <c r="B2" s="716"/>
      <c r="C2" s="716"/>
      <c r="D2" s="716"/>
      <c r="E2" s="716"/>
      <c r="F2" s="515"/>
      <c r="G2" s="516"/>
      <c r="H2" s="516"/>
      <c r="I2" s="516"/>
      <c r="J2" s="516"/>
      <c r="K2" s="516"/>
      <c r="L2" s="516"/>
    </row>
    <row r="3" spans="1:12" s="517" customFormat="1" ht="10.199999999999999">
      <c r="B3" s="515"/>
      <c r="C3" s="516"/>
      <c r="D3" s="516"/>
      <c r="E3" s="516"/>
      <c r="F3" s="515"/>
      <c r="G3" s="516"/>
      <c r="H3" s="516"/>
      <c r="I3" s="516"/>
      <c r="J3" s="516"/>
      <c r="K3" s="516"/>
      <c r="L3" s="516"/>
    </row>
    <row r="4" spans="1:12" ht="38.25" customHeight="1">
      <c r="A4" s="630" t="s">
        <v>134</v>
      </c>
      <c r="B4" s="717" t="s">
        <v>135</v>
      </c>
      <c r="C4" s="718"/>
      <c r="D4" s="717" t="s">
        <v>729</v>
      </c>
      <c r="E4" s="718"/>
      <c r="F4" s="717" t="s">
        <v>136</v>
      </c>
      <c r="G4" s="718"/>
      <c r="H4" s="717" t="s">
        <v>730</v>
      </c>
      <c r="I4" s="718"/>
    </row>
    <row r="5" spans="1:12">
      <c r="A5" s="632"/>
      <c r="B5" s="628">
        <v>44926</v>
      </c>
      <c r="C5" s="628">
        <v>44561</v>
      </c>
      <c r="D5" s="628">
        <v>44926</v>
      </c>
      <c r="E5" s="628">
        <v>44561</v>
      </c>
      <c r="F5" s="628">
        <v>44926</v>
      </c>
      <c r="G5" s="628">
        <v>44561</v>
      </c>
      <c r="H5" s="628">
        <v>44926</v>
      </c>
      <c r="I5" s="628">
        <v>44561</v>
      </c>
    </row>
    <row r="6" spans="1:12">
      <c r="A6" s="633" t="s">
        <v>1051</v>
      </c>
      <c r="B6" s="631" t="s">
        <v>1035</v>
      </c>
      <c r="C6" s="631">
        <v>469231</v>
      </c>
      <c r="D6" s="631" t="s">
        <v>1035</v>
      </c>
      <c r="E6" s="631">
        <v>358736</v>
      </c>
      <c r="F6" s="631" t="s">
        <v>1035</v>
      </c>
      <c r="G6" s="631">
        <v>186812</v>
      </c>
      <c r="H6" s="631" t="s">
        <v>1035</v>
      </c>
      <c r="I6" s="631">
        <v>12760</v>
      </c>
    </row>
    <row r="7" spans="1:12">
      <c r="A7" s="633" t="s">
        <v>1052</v>
      </c>
      <c r="B7" s="636" t="s">
        <v>1035</v>
      </c>
      <c r="C7" s="636">
        <v>0</v>
      </c>
      <c r="D7" s="636" t="s">
        <v>1035</v>
      </c>
      <c r="E7" s="631">
        <v>0</v>
      </c>
      <c r="F7" s="636" t="s">
        <v>1035</v>
      </c>
      <c r="G7" s="631">
        <v>0</v>
      </c>
      <c r="H7" s="636" t="s">
        <v>1035</v>
      </c>
      <c r="I7" s="631">
        <v>0</v>
      </c>
    </row>
    <row r="8" spans="1:12">
      <c r="A8" s="633" t="s">
        <v>596</v>
      </c>
      <c r="B8" s="631">
        <v>2400</v>
      </c>
      <c r="C8" s="631">
        <v>2600</v>
      </c>
      <c r="D8" s="637">
        <v>246</v>
      </c>
      <c r="E8" s="637">
        <v>10944</v>
      </c>
      <c r="F8" s="631">
        <v>2400</v>
      </c>
      <c r="G8" s="631">
        <v>17200</v>
      </c>
      <c r="H8" s="631">
        <v>738</v>
      </c>
      <c r="I8" s="631">
        <v>246</v>
      </c>
    </row>
    <row r="9" spans="1:12" ht="20.399999999999999">
      <c r="A9" s="634" t="s">
        <v>1053</v>
      </c>
      <c r="B9" s="638">
        <v>0</v>
      </c>
      <c r="C9" s="638">
        <v>0</v>
      </c>
      <c r="D9" s="638">
        <f t="shared" ref="D9:E9" si="0">SUM(D10:D11)</f>
        <v>0</v>
      </c>
      <c r="E9" s="638">
        <f t="shared" si="0"/>
        <v>0</v>
      </c>
      <c r="F9" s="638">
        <f>SUM(F10:F11)</f>
        <v>607364</v>
      </c>
      <c r="G9" s="638">
        <f>SUM(G10:G11)</f>
        <v>191051</v>
      </c>
      <c r="H9" s="638">
        <v>86939</v>
      </c>
      <c r="I9" s="638">
        <v>53013</v>
      </c>
    </row>
    <row r="10" spans="1:12">
      <c r="A10" s="635" t="s">
        <v>1054</v>
      </c>
      <c r="B10" s="636">
        <v>0</v>
      </c>
      <c r="C10" s="636">
        <v>0</v>
      </c>
      <c r="D10" s="636">
        <v>0</v>
      </c>
      <c r="E10" s="636">
        <v>0</v>
      </c>
      <c r="F10" s="636">
        <v>291000</v>
      </c>
      <c r="G10" s="636">
        <v>61500</v>
      </c>
      <c r="H10" s="631">
        <v>31365</v>
      </c>
      <c r="I10" s="636">
        <v>25215</v>
      </c>
    </row>
    <row r="11" spans="1:12">
      <c r="A11" s="629" t="s">
        <v>1055</v>
      </c>
      <c r="B11" s="636">
        <v>0</v>
      </c>
      <c r="C11" s="636">
        <v>0</v>
      </c>
      <c r="D11" s="636">
        <v>0</v>
      </c>
      <c r="E11" s="636">
        <v>0</v>
      </c>
      <c r="F11" s="636">
        <v>316364</v>
      </c>
      <c r="G11" s="636">
        <v>129551</v>
      </c>
      <c r="H11" s="631">
        <v>55574</v>
      </c>
      <c r="I11" s="631">
        <v>27798</v>
      </c>
    </row>
    <row r="13" spans="1:12">
      <c r="A13" s="517" t="s">
        <v>1056</v>
      </c>
      <c r="B13"/>
      <c r="C13"/>
      <c r="D13"/>
      <c r="E13"/>
      <c r="F13"/>
      <c r="G13"/>
      <c r="H13"/>
      <c r="I13"/>
    </row>
    <row r="14" spans="1:12">
      <c r="A14" s="517" t="s">
        <v>1057</v>
      </c>
      <c r="B14"/>
      <c r="C14"/>
      <c r="D14"/>
      <c r="E14"/>
      <c r="F14"/>
      <c r="G14"/>
      <c r="H14"/>
      <c r="I14"/>
    </row>
  </sheetData>
  <mergeCells count="5">
    <mergeCell ref="A2:E2"/>
    <mergeCell ref="B4:C4"/>
    <mergeCell ref="D4:E4"/>
    <mergeCell ref="F4:G4"/>
    <mergeCell ref="H4:I4"/>
  </mergeCells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9"/>
  <dimension ref="A1:E71"/>
  <sheetViews>
    <sheetView showGridLines="0" zoomScaleNormal="100" zoomScaleSheetLayoutView="100" workbookViewId="0">
      <selection activeCell="C6" sqref="C6"/>
    </sheetView>
  </sheetViews>
  <sheetFormatPr defaultColWidth="9.33203125" defaultRowHeight="10.199999999999999"/>
  <cols>
    <col min="1" max="1" width="41.5546875" style="41" customWidth="1"/>
    <col min="2" max="2" width="16" style="41" customWidth="1"/>
    <col min="3" max="4" width="9.33203125" style="41" bestFit="1" customWidth="1"/>
    <col min="5" max="5" width="15.33203125" style="41" customWidth="1"/>
    <col min="6" max="16384" width="9.33203125" style="41"/>
  </cols>
  <sheetData>
    <row r="1" spans="1:5" s="44" customFormat="1">
      <c r="A1" s="172"/>
      <c r="B1" s="172"/>
    </row>
    <row r="2" spans="1:5" ht="11.25" customHeight="1">
      <c r="A2" s="381" t="s">
        <v>930</v>
      </c>
      <c r="B2" s="381"/>
    </row>
    <row r="3" spans="1:5">
      <c r="A3" s="201"/>
      <c r="B3" s="198"/>
    </row>
    <row r="4" spans="1:5" s="1" customFormat="1">
      <c r="A4" s="129" t="s">
        <v>22</v>
      </c>
      <c r="B4" s="129"/>
    </row>
    <row r="5" spans="1:5" s="1" customFormat="1" ht="20.399999999999999">
      <c r="A5" s="681"/>
      <c r="B5" s="682"/>
      <c r="C5" s="114" t="str">
        <f>'Dane podstawowe'!$B$7</f>
        <v>01.01.2022-31.12.2022</v>
      </c>
      <c r="D5" s="114" t="str">
        <f>'Dane podstawowe'!$B$12</f>
        <v>01.01.2021-31.12.2021</v>
      </c>
    </row>
    <row r="6" spans="1:5" s="195" customFormat="1" ht="10.199999999999999" customHeight="1">
      <c r="A6" s="721" t="s">
        <v>8</v>
      </c>
      <c r="B6" s="722"/>
      <c r="C6" s="541">
        <f>1151380+226857</f>
        <v>1378237</v>
      </c>
      <c r="D6" s="541">
        <v>1368660</v>
      </c>
    </row>
    <row r="7" spans="1:5" s="195" customFormat="1">
      <c r="A7" s="493" t="s">
        <v>562</v>
      </c>
      <c r="B7" s="494"/>
      <c r="C7" s="542">
        <v>0</v>
      </c>
      <c r="D7" s="542">
        <v>0</v>
      </c>
    </row>
    <row r="8" spans="1:5" s="195" customFormat="1">
      <c r="A8" s="493" t="s">
        <v>586</v>
      </c>
      <c r="B8" s="494"/>
      <c r="C8" s="542">
        <v>0</v>
      </c>
      <c r="D8" s="542">
        <v>0</v>
      </c>
    </row>
    <row r="9" spans="1:5" s="1" customFormat="1">
      <c r="A9" s="723" t="s">
        <v>9</v>
      </c>
      <c r="B9" s="724"/>
      <c r="C9" s="542">
        <v>0</v>
      </c>
      <c r="D9" s="542">
        <v>0</v>
      </c>
    </row>
    <row r="10" spans="1:5" s="195" customFormat="1">
      <c r="A10" s="723" t="s">
        <v>10</v>
      </c>
      <c r="B10" s="724"/>
      <c r="C10" s="542">
        <v>0</v>
      </c>
      <c r="D10" s="542">
        <v>0</v>
      </c>
    </row>
    <row r="11" spans="1:5" s="1" customFormat="1">
      <c r="A11" s="723" t="s">
        <v>11</v>
      </c>
      <c r="B11" s="724"/>
      <c r="C11" s="542">
        <v>0</v>
      </c>
      <c r="D11" s="542">
        <v>0</v>
      </c>
    </row>
    <row r="12" spans="1:5" s="195" customFormat="1">
      <c r="A12" s="723" t="s">
        <v>12</v>
      </c>
      <c r="B12" s="724"/>
      <c r="C12" s="542">
        <v>0</v>
      </c>
      <c r="D12" s="541">
        <v>0</v>
      </c>
    </row>
    <row r="13" spans="1:5" s="195" customFormat="1">
      <c r="A13" s="725" t="s">
        <v>496</v>
      </c>
      <c r="B13" s="726"/>
      <c r="C13" s="542">
        <v>0</v>
      </c>
      <c r="D13" s="542">
        <v>0</v>
      </c>
    </row>
    <row r="14" spans="1:5">
      <c r="A14" s="719" t="s">
        <v>23</v>
      </c>
      <c r="B14" s="720"/>
      <c r="C14" s="45">
        <f>SUM(C6:C13)</f>
        <v>1378237</v>
      </c>
      <c r="D14" s="45">
        <f>SUM(D6:D13)</f>
        <v>1368660</v>
      </c>
    </row>
    <row r="15" spans="1:5">
      <c r="A15" s="72"/>
      <c r="B15" s="72"/>
      <c r="C15" s="229"/>
      <c r="D15" s="229"/>
      <c r="E15" s="229"/>
    </row>
    <row r="16" spans="1:5" s="1" customFormat="1">
      <c r="A16" s="129"/>
      <c r="B16" s="129"/>
    </row>
    <row r="17" spans="1:4" s="1" customFormat="1">
      <c r="A17" s="149" t="s">
        <v>112</v>
      </c>
      <c r="B17" s="149"/>
    </row>
    <row r="18" spans="1:4" s="1" customFormat="1" ht="20.399999999999999">
      <c r="A18" s="681"/>
      <c r="B18" s="682"/>
      <c r="C18" s="114" t="str">
        <f>'Dane podstawowe'!$B$7</f>
        <v>01.01.2022-31.12.2022</v>
      </c>
      <c r="D18" s="114" t="str">
        <f>'Dane podstawowe'!$B$12</f>
        <v>01.01.2021-31.12.2021</v>
      </c>
    </row>
    <row r="19" spans="1:4" s="195" customFormat="1" ht="10.199999999999999" customHeight="1">
      <c r="A19" s="729" t="s">
        <v>8</v>
      </c>
      <c r="B19" s="730"/>
      <c r="C19" s="543">
        <v>3413989</v>
      </c>
      <c r="D19" s="543">
        <v>2100122</v>
      </c>
    </row>
    <row r="20" spans="1:4" s="195" customFormat="1">
      <c r="A20" s="491" t="s">
        <v>562</v>
      </c>
      <c r="B20" s="492"/>
      <c r="C20" s="457">
        <v>0</v>
      </c>
      <c r="D20" s="457">
        <v>0</v>
      </c>
    </row>
    <row r="21" spans="1:4" s="1" customFormat="1">
      <c r="A21" s="727" t="s">
        <v>9</v>
      </c>
      <c r="B21" s="728"/>
      <c r="C21" s="457">
        <v>0</v>
      </c>
      <c r="D21" s="457">
        <v>0</v>
      </c>
    </row>
    <row r="22" spans="1:4" s="195" customFormat="1">
      <c r="A22" s="727" t="s">
        <v>10</v>
      </c>
      <c r="B22" s="728"/>
      <c r="C22" s="457">
        <v>28869</v>
      </c>
      <c r="D22" s="457">
        <v>0</v>
      </c>
    </row>
    <row r="23" spans="1:4" s="1" customFormat="1">
      <c r="A23" s="727" t="s">
        <v>11</v>
      </c>
      <c r="B23" s="728"/>
      <c r="C23" s="457">
        <v>0</v>
      </c>
      <c r="D23" s="457">
        <v>0</v>
      </c>
    </row>
    <row r="24" spans="1:4" s="195" customFormat="1">
      <c r="A24" s="727" t="s">
        <v>12</v>
      </c>
      <c r="B24" s="728"/>
      <c r="C24" s="457">
        <v>0</v>
      </c>
      <c r="D24" s="457">
        <v>0</v>
      </c>
    </row>
    <row r="25" spans="1:4">
      <c r="A25" s="719" t="s">
        <v>23</v>
      </c>
      <c r="B25" s="720"/>
      <c r="C25" s="45">
        <f>SUM(C19:C24)</f>
        <v>3442858</v>
      </c>
      <c r="D25" s="45">
        <f>SUM(D19:D24)</f>
        <v>2100122</v>
      </c>
    </row>
    <row r="26" spans="1:4">
      <c r="A26" s="72"/>
      <c r="B26" s="72"/>
      <c r="C26" s="229"/>
      <c r="D26" s="229"/>
    </row>
    <row r="27" spans="1:4">
      <c r="A27" s="72"/>
      <c r="B27" s="72"/>
      <c r="C27" s="229"/>
      <c r="D27" s="229"/>
    </row>
    <row r="28" spans="1:4">
      <c r="A28" s="129" t="s">
        <v>569</v>
      </c>
      <c r="B28" s="129"/>
      <c r="C28" s="1"/>
      <c r="D28" s="1"/>
    </row>
    <row r="29" spans="1:4" ht="20.399999999999999">
      <c r="A29" s="681"/>
      <c r="B29" s="682"/>
      <c r="C29" s="114" t="str">
        <f>'Dane podstawowe'!$B$7</f>
        <v>01.01.2022-31.12.2022</v>
      </c>
      <c r="D29" s="114" t="str">
        <f>D18</f>
        <v>01.01.2021-31.12.2021</v>
      </c>
    </row>
    <row r="30" spans="1:4" ht="10.199999999999999" customHeight="1">
      <c r="A30" s="729" t="s">
        <v>8</v>
      </c>
      <c r="B30" s="730"/>
      <c r="C30" s="457">
        <v>60519</v>
      </c>
      <c r="D30" s="457">
        <v>53877</v>
      </c>
    </row>
    <row r="31" spans="1:4">
      <c r="A31" s="491" t="s">
        <v>562</v>
      </c>
      <c r="B31" s="492"/>
      <c r="C31" s="457">
        <v>0</v>
      </c>
      <c r="D31" s="457">
        <v>0</v>
      </c>
    </row>
    <row r="32" spans="1:4">
      <c r="A32" s="727" t="s">
        <v>9</v>
      </c>
      <c r="B32" s="728"/>
      <c r="C32" s="457">
        <v>0</v>
      </c>
      <c r="D32" s="457">
        <v>0</v>
      </c>
    </row>
    <row r="33" spans="1:4">
      <c r="A33" s="727" t="s">
        <v>10</v>
      </c>
      <c r="B33" s="728"/>
      <c r="C33" s="457">
        <v>0</v>
      </c>
      <c r="D33" s="457">
        <v>0</v>
      </c>
    </row>
    <row r="34" spans="1:4">
      <c r="A34" s="727" t="s">
        <v>11</v>
      </c>
      <c r="B34" s="728"/>
      <c r="C34" s="457">
        <v>0</v>
      </c>
      <c r="D34" s="457">
        <v>0</v>
      </c>
    </row>
    <row r="35" spans="1:4">
      <c r="A35" s="727" t="s">
        <v>12</v>
      </c>
      <c r="B35" s="728"/>
      <c r="C35" s="457">
        <v>0</v>
      </c>
      <c r="D35" s="457">
        <v>0</v>
      </c>
    </row>
    <row r="36" spans="1:4">
      <c r="A36" s="731" t="s">
        <v>496</v>
      </c>
      <c r="B36" s="732"/>
      <c r="C36" s="457">
        <v>0</v>
      </c>
      <c r="D36" s="457">
        <v>0</v>
      </c>
    </row>
    <row r="37" spans="1:4">
      <c r="A37" s="719" t="s">
        <v>23</v>
      </c>
      <c r="B37" s="720"/>
      <c r="C37" s="45">
        <f>SUM(C30:C36)</f>
        <v>60519</v>
      </c>
      <c r="D37" s="45">
        <f>SUM(D30:D36)</f>
        <v>53877</v>
      </c>
    </row>
    <row r="38" spans="1:4">
      <c r="A38" s="72"/>
      <c r="B38" s="72"/>
      <c r="C38" s="229"/>
      <c r="D38" s="229"/>
    </row>
    <row r="39" spans="1:4">
      <c r="A39" s="72"/>
      <c r="B39" s="72"/>
      <c r="C39" s="229"/>
      <c r="D39" s="229"/>
    </row>
    <row r="40" spans="1:4">
      <c r="A40" s="3"/>
      <c r="B40" s="3"/>
      <c r="C40" s="5"/>
      <c r="D40" s="5"/>
    </row>
    <row r="41" spans="1:4">
      <c r="A41" s="3"/>
      <c r="B41" s="3"/>
      <c r="C41" s="5"/>
      <c r="D41" s="5"/>
    </row>
    <row r="42" spans="1:4">
      <c r="A42" s="3"/>
      <c r="B42" s="3"/>
      <c r="C42" s="5"/>
      <c r="D42" s="5"/>
    </row>
    <row r="43" spans="1:4">
      <c r="A43" s="3"/>
      <c r="B43" s="3"/>
      <c r="C43" s="5"/>
      <c r="D43" s="5"/>
    </row>
    <row r="44" spans="1:4">
      <c r="A44" s="3"/>
      <c r="B44" s="3"/>
      <c r="C44" s="5"/>
      <c r="D44" s="5"/>
    </row>
    <row r="45" spans="1:4">
      <c r="A45" s="3"/>
      <c r="B45" s="3"/>
      <c r="C45" s="5"/>
      <c r="D45" s="5"/>
    </row>
    <row r="46" spans="1:4">
      <c r="A46" s="3"/>
      <c r="B46" s="3"/>
      <c r="C46" s="5"/>
      <c r="D46" s="5"/>
    </row>
    <row r="47" spans="1:4">
      <c r="A47" s="3"/>
      <c r="B47" s="3"/>
      <c r="C47" s="5"/>
      <c r="D47" s="5"/>
    </row>
    <row r="48" spans="1:4">
      <c r="A48" s="3"/>
      <c r="B48" s="3"/>
      <c r="C48" s="5"/>
      <c r="D48" s="5"/>
    </row>
    <row r="49" spans="1:4">
      <c r="A49" s="3"/>
      <c r="B49" s="3"/>
      <c r="C49" s="5"/>
      <c r="D49" s="5"/>
    </row>
    <row r="50" spans="1:4">
      <c r="A50" s="3"/>
      <c r="B50" s="3"/>
      <c r="C50" s="5"/>
      <c r="D50" s="5"/>
    </row>
    <row r="51" spans="1:4">
      <c r="A51" s="3"/>
      <c r="B51" s="3"/>
      <c r="C51" s="5"/>
      <c r="D51" s="5"/>
    </row>
    <row r="52" spans="1:4">
      <c r="A52" s="3"/>
      <c r="B52" s="3"/>
      <c r="C52" s="5"/>
      <c r="D52" s="5"/>
    </row>
    <row r="53" spans="1:4">
      <c r="A53" s="3"/>
      <c r="B53" s="3"/>
      <c r="C53" s="5"/>
      <c r="D53" s="5"/>
    </row>
    <row r="54" spans="1:4">
      <c r="A54" s="3"/>
      <c r="B54" s="3"/>
      <c r="C54" s="5"/>
      <c r="D54" s="5"/>
    </row>
    <row r="55" spans="1:4">
      <c r="A55" s="3"/>
      <c r="B55" s="3"/>
      <c r="C55" s="5"/>
      <c r="D55" s="5"/>
    </row>
    <row r="56" spans="1:4">
      <c r="A56" s="3"/>
      <c r="B56" s="3"/>
      <c r="C56" s="5"/>
      <c r="D56" s="5"/>
    </row>
    <row r="57" spans="1:4">
      <c r="A57" s="3"/>
      <c r="B57" s="3"/>
      <c r="C57" s="5"/>
      <c r="D57" s="5"/>
    </row>
    <row r="58" spans="1:4">
      <c r="A58" s="3"/>
      <c r="B58" s="3"/>
      <c r="C58" s="5"/>
      <c r="D58" s="5"/>
    </row>
    <row r="59" spans="1:4">
      <c r="A59" s="3"/>
      <c r="B59" s="3"/>
      <c r="C59" s="5"/>
      <c r="D59" s="5"/>
    </row>
    <row r="60" spans="1:4">
      <c r="A60" s="3"/>
      <c r="B60" s="3"/>
      <c r="C60" s="5"/>
      <c r="D60" s="5"/>
    </row>
    <row r="61" spans="1:4">
      <c r="A61" s="3"/>
      <c r="B61" s="3"/>
      <c r="C61" s="5"/>
      <c r="D61" s="5"/>
    </row>
    <row r="62" spans="1:4">
      <c r="A62" s="3"/>
      <c r="B62" s="3"/>
      <c r="C62" s="5"/>
      <c r="D62" s="5"/>
    </row>
    <row r="63" spans="1:4">
      <c r="A63" s="3"/>
      <c r="B63" s="3"/>
      <c r="C63" s="5"/>
      <c r="D63" s="5"/>
    </row>
    <row r="64" spans="1:4">
      <c r="A64" s="3"/>
      <c r="B64" s="3"/>
      <c r="C64" s="5"/>
      <c r="D64" s="5"/>
    </row>
    <row r="65" spans="1:4">
      <c r="A65" s="3"/>
      <c r="B65" s="3"/>
      <c r="C65" s="5"/>
      <c r="D65" s="5"/>
    </row>
    <row r="66" spans="1:4">
      <c r="A66" s="3"/>
      <c r="B66" s="3"/>
      <c r="C66" s="5"/>
      <c r="D66" s="5"/>
    </row>
    <row r="67" spans="1:4">
      <c r="A67" s="3"/>
      <c r="B67" s="3"/>
      <c r="C67" s="5"/>
      <c r="D67" s="5"/>
    </row>
    <row r="68" spans="1:4">
      <c r="A68" s="3"/>
      <c r="B68" s="3"/>
      <c r="C68" s="5"/>
      <c r="D68" s="5"/>
    </row>
    <row r="69" spans="1:4">
      <c r="A69" s="3"/>
      <c r="B69" s="3"/>
      <c r="C69" s="5"/>
      <c r="D69" s="5"/>
    </row>
    <row r="70" spans="1:4">
      <c r="A70" s="3"/>
      <c r="B70" s="3"/>
      <c r="C70" s="5"/>
      <c r="D70" s="5"/>
    </row>
    <row r="71" spans="1:4">
      <c r="A71" s="3"/>
      <c r="B71" s="3"/>
      <c r="C71" s="5"/>
      <c r="D71" s="5"/>
    </row>
  </sheetData>
  <mergeCells count="23">
    <mergeCell ref="A37:B37"/>
    <mergeCell ref="A34:B34"/>
    <mergeCell ref="A35:B35"/>
    <mergeCell ref="A36:B36"/>
    <mergeCell ref="A30:B30"/>
    <mergeCell ref="A32:B32"/>
    <mergeCell ref="A33:B33"/>
    <mergeCell ref="A29:B29"/>
    <mergeCell ref="A25:B25"/>
    <mergeCell ref="A5:B5"/>
    <mergeCell ref="A14:B14"/>
    <mergeCell ref="A18:B18"/>
    <mergeCell ref="A6:B6"/>
    <mergeCell ref="A9:B9"/>
    <mergeCell ref="A12:B12"/>
    <mergeCell ref="A13:B13"/>
    <mergeCell ref="A10:B10"/>
    <mergeCell ref="A11:B11"/>
    <mergeCell ref="A23:B23"/>
    <mergeCell ref="A24:B24"/>
    <mergeCell ref="A22:B22"/>
    <mergeCell ref="A19:B19"/>
    <mergeCell ref="A21:B21"/>
  </mergeCells>
  <phoneticPr fontId="37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2">
    <pageSetUpPr fitToPage="1"/>
  </sheetPr>
  <dimension ref="A1:C22"/>
  <sheetViews>
    <sheetView showGridLines="0" view="pageBreakPreview" zoomScaleNormal="100" zoomScaleSheetLayoutView="100" workbookViewId="0">
      <selection activeCell="A18" sqref="A18:C21"/>
    </sheetView>
  </sheetViews>
  <sheetFormatPr defaultRowHeight="13.2"/>
  <cols>
    <col min="1" max="1" width="53.6640625" customWidth="1"/>
    <col min="2" max="2" width="22.5546875" customWidth="1"/>
    <col min="3" max="3" width="18.33203125" bestFit="1" customWidth="1"/>
    <col min="4" max="4" width="18.33203125" customWidth="1"/>
    <col min="257" max="257" width="53.6640625" customWidth="1"/>
    <col min="258" max="258" width="22.5546875" customWidth="1"/>
    <col min="259" max="259" width="18.33203125" bestFit="1" customWidth="1"/>
    <col min="260" max="260" width="18.33203125" customWidth="1"/>
    <col min="513" max="513" width="53.6640625" customWidth="1"/>
    <col min="514" max="514" width="22.5546875" customWidth="1"/>
    <col min="515" max="515" width="18.33203125" bestFit="1" customWidth="1"/>
    <col min="516" max="516" width="18.33203125" customWidth="1"/>
    <col min="769" max="769" width="53.6640625" customWidth="1"/>
    <col min="770" max="770" width="22.5546875" customWidth="1"/>
    <col min="771" max="771" width="18.33203125" bestFit="1" customWidth="1"/>
    <col min="772" max="772" width="18.33203125" customWidth="1"/>
    <col min="1025" max="1025" width="53.6640625" customWidth="1"/>
    <col min="1026" max="1026" width="22.5546875" customWidth="1"/>
    <col min="1027" max="1027" width="18.33203125" bestFit="1" customWidth="1"/>
    <col min="1028" max="1028" width="18.33203125" customWidth="1"/>
    <col min="1281" max="1281" width="53.6640625" customWidth="1"/>
    <col min="1282" max="1282" width="22.5546875" customWidth="1"/>
    <col min="1283" max="1283" width="18.33203125" bestFit="1" customWidth="1"/>
    <col min="1284" max="1284" width="18.33203125" customWidth="1"/>
    <col min="1537" max="1537" width="53.6640625" customWidth="1"/>
    <col min="1538" max="1538" width="22.5546875" customWidth="1"/>
    <col min="1539" max="1539" width="18.33203125" bestFit="1" customWidth="1"/>
    <col min="1540" max="1540" width="18.33203125" customWidth="1"/>
    <col min="1793" max="1793" width="53.6640625" customWidth="1"/>
    <col min="1794" max="1794" width="22.5546875" customWidth="1"/>
    <col min="1795" max="1795" width="18.33203125" bestFit="1" customWidth="1"/>
    <col min="1796" max="1796" width="18.33203125" customWidth="1"/>
    <col min="2049" max="2049" width="53.6640625" customWidth="1"/>
    <col min="2050" max="2050" width="22.5546875" customWidth="1"/>
    <col min="2051" max="2051" width="18.33203125" bestFit="1" customWidth="1"/>
    <col min="2052" max="2052" width="18.33203125" customWidth="1"/>
    <col min="2305" max="2305" width="53.6640625" customWidth="1"/>
    <col min="2306" max="2306" width="22.5546875" customWidth="1"/>
    <col min="2307" max="2307" width="18.33203125" bestFit="1" customWidth="1"/>
    <col min="2308" max="2308" width="18.33203125" customWidth="1"/>
    <col min="2561" max="2561" width="53.6640625" customWidth="1"/>
    <col min="2562" max="2562" width="22.5546875" customWidth="1"/>
    <col min="2563" max="2563" width="18.33203125" bestFit="1" customWidth="1"/>
    <col min="2564" max="2564" width="18.33203125" customWidth="1"/>
    <col min="2817" max="2817" width="53.6640625" customWidth="1"/>
    <col min="2818" max="2818" width="22.5546875" customWidth="1"/>
    <col min="2819" max="2819" width="18.33203125" bestFit="1" customWidth="1"/>
    <col min="2820" max="2820" width="18.33203125" customWidth="1"/>
    <col min="3073" max="3073" width="53.6640625" customWidth="1"/>
    <col min="3074" max="3074" width="22.5546875" customWidth="1"/>
    <col min="3075" max="3075" width="18.33203125" bestFit="1" customWidth="1"/>
    <col min="3076" max="3076" width="18.33203125" customWidth="1"/>
    <col min="3329" max="3329" width="53.6640625" customWidth="1"/>
    <col min="3330" max="3330" width="22.5546875" customWidth="1"/>
    <col min="3331" max="3331" width="18.33203125" bestFit="1" customWidth="1"/>
    <col min="3332" max="3332" width="18.33203125" customWidth="1"/>
    <col min="3585" max="3585" width="53.6640625" customWidth="1"/>
    <col min="3586" max="3586" width="22.5546875" customWidth="1"/>
    <col min="3587" max="3587" width="18.33203125" bestFit="1" customWidth="1"/>
    <col min="3588" max="3588" width="18.33203125" customWidth="1"/>
    <col min="3841" max="3841" width="53.6640625" customWidth="1"/>
    <col min="3842" max="3842" width="22.5546875" customWidth="1"/>
    <col min="3843" max="3843" width="18.33203125" bestFit="1" customWidth="1"/>
    <col min="3844" max="3844" width="18.33203125" customWidth="1"/>
    <col min="4097" max="4097" width="53.6640625" customWidth="1"/>
    <col min="4098" max="4098" width="22.5546875" customWidth="1"/>
    <col min="4099" max="4099" width="18.33203125" bestFit="1" customWidth="1"/>
    <col min="4100" max="4100" width="18.33203125" customWidth="1"/>
    <col min="4353" max="4353" width="53.6640625" customWidth="1"/>
    <col min="4354" max="4354" width="22.5546875" customWidth="1"/>
    <col min="4355" max="4355" width="18.33203125" bestFit="1" customWidth="1"/>
    <col min="4356" max="4356" width="18.33203125" customWidth="1"/>
    <col min="4609" max="4609" width="53.6640625" customWidth="1"/>
    <col min="4610" max="4610" width="22.5546875" customWidth="1"/>
    <col min="4611" max="4611" width="18.33203125" bestFit="1" customWidth="1"/>
    <col min="4612" max="4612" width="18.33203125" customWidth="1"/>
    <col min="4865" max="4865" width="53.6640625" customWidth="1"/>
    <col min="4866" max="4866" width="22.5546875" customWidth="1"/>
    <col min="4867" max="4867" width="18.33203125" bestFit="1" customWidth="1"/>
    <col min="4868" max="4868" width="18.33203125" customWidth="1"/>
    <col min="5121" max="5121" width="53.6640625" customWidth="1"/>
    <col min="5122" max="5122" width="22.5546875" customWidth="1"/>
    <col min="5123" max="5123" width="18.33203125" bestFit="1" customWidth="1"/>
    <col min="5124" max="5124" width="18.33203125" customWidth="1"/>
    <col min="5377" max="5377" width="53.6640625" customWidth="1"/>
    <col min="5378" max="5378" width="22.5546875" customWidth="1"/>
    <col min="5379" max="5379" width="18.33203125" bestFit="1" customWidth="1"/>
    <col min="5380" max="5380" width="18.33203125" customWidth="1"/>
    <col min="5633" max="5633" width="53.6640625" customWidth="1"/>
    <col min="5634" max="5634" width="22.5546875" customWidth="1"/>
    <col min="5635" max="5635" width="18.33203125" bestFit="1" customWidth="1"/>
    <col min="5636" max="5636" width="18.33203125" customWidth="1"/>
    <col min="5889" max="5889" width="53.6640625" customWidth="1"/>
    <col min="5890" max="5890" width="22.5546875" customWidth="1"/>
    <col min="5891" max="5891" width="18.33203125" bestFit="1" customWidth="1"/>
    <col min="5892" max="5892" width="18.33203125" customWidth="1"/>
    <col min="6145" max="6145" width="53.6640625" customWidth="1"/>
    <col min="6146" max="6146" width="22.5546875" customWidth="1"/>
    <col min="6147" max="6147" width="18.33203125" bestFit="1" customWidth="1"/>
    <col min="6148" max="6148" width="18.33203125" customWidth="1"/>
    <col min="6401" max="6401" width="53.6640625" customWidth="1"/>
    <col min="6402" max="6402" width="22.5546875" customWidth="1"/>
    <col min="6403" max="6403" width="18.33203125" bestFit="1" customWidth="1"/>
    <col min="6404" max="6404" width="18.33203125" customWidth="1"/>
    <col min="6657" max="6657" width="53.6640625" customWidth="1"/>
    <col min="6658" max="6658" width="22.5546875" customWidth="1"/>
    <col min="6659" max="6659" width="18.33203125" bestFit="1" customWidth="1"/>
    <col min="6660" max="6660" width="18.33203125" customWidth="1"/>
    <col min="6913" max="6913" width="53.6640625" customWidth="1"/>
    <col min="6914" max="6914" width="22.5546875" customWidth="1"/>
    <col min="6915" max="6915" width="18.33203125" bestFit="1" customWidth="1"/>
    <col min="6916" max="6916" width="18.33203125" customWidth="1"/>
    <col min="7169" max="7169" width="53.6640625" customWidth="1"/>
    <col min="7170" max="7170" width="22.5546875" customWidth="1"/>
    <col min="7171" max="7171" width="18.33203125" bestFit="1" customWidth="1"/>
    <col min="7172" max="7172" width="18.33203125" customWidth="1"/>
    <col min="7425" max="7425" width="53.6640625" customWidth="1"/>
    <col min="7426" max="7426" width="22.5546875" customWidth="1"/>
    <col min="7427" max="7427" width="18.33203125" bestFit="1" customWidth="1"/>
    <col min="7428" max="7428" width="18.33203125" customWidth="1"/>
    <col min="7681" max="7681" width="53.6640625" customWidth="1"/>
    <col min="7682" max="7682" width="22.5546875" customWidth="1"/>
    <col min="7683" max="7683" width="18.33203125" bestFit="1" customWidth="1"/>
    <col min="7684" max="7684" width="18.33203125" customWidth="1"/>
    <col min="7937" max="7937" width="53.6640625" customWidth="1"/>
    <col min="7938" max="7938" width="22.5546875" customWidth="1"/>
    <col min="7939" max="7939" width="18.33203125" bestFit="1" customWidth="1"/>
    <col min="7940" max="7940" width="18.33203125" customWidth="1"/>
    <col min="8193" max="8193" width="53.6640625" customWidth="1"/>
    <col min="8194" max="8194" width="22.5546875" customWidth="1"/>
    <col min="8195" max="8195" width="18.33203125" bestFit="1" customWidth="1"/>
    <col min="8196" max="8196" width="18.33203125" customWidth="1"/>
    <col min="8449" max="8449" width="53.6640625" customWidth="1"/>
    <col min="8450" max="8450" width="22.5546875" customWidth="1"/>
    <col min="8451" max="8451" width="18.33203125" bestFit="1" customWidth="1"/>
    <col min="8452" max="8452" width="18.33203125" customWidth="1"/>
    <col min="8705" max="8705" width="53.6640625" customWidth="1"/>
    <col min="8706" max="8706" width="22.5546875" customWidth="1"/>
    <col min="8707" max="8707" width="18.33203125" bestFit="1" customWidth="1"/>
    <col min="8708" max="8708" width="18.33203125" customWidth="1"/>
    <col min="8961" max="8961" width="53.6640625" customWidth="1"/>
    <col min="8962" max="8962" width="22.5546875" customWidth="1"/>
    <col min="8963" max="8963" width="18.33203125" bestFit="1" customWidth="1"/>
    <col min="8964" max="8964" width="18.33203125" customWidth="1"/>
    <col min="9217" max="9217" width="53.6640625" customWidth="1"/>
    <col min="9218" max="9218" width="22.5546875" customWidth="1"/>
    <col min="9219" max="9219" width="18.33203125" bestFit="1" customWidth="1"/>
    <col min="9220" max="9220" width="18.33203125" customWidth="1"/>
    <col min="9473" max="9473" width="53.6640625" customWidth="1"/>
    <col min="9474" max="9474" width="22.5546875" customWidth="1"/>
    <col min="9475" max="9475" width="18.33203125" bestFit="1" customWidth="1"/>
    <col min="9476" max="9476" width="18.33203125" customWidth="1"/>
    <col min="9729" max="9729" width="53.6640625" customWidth="1"/>
    <col min="9730" max="9730" width="22.5546875" customWidth="1"/>
    <col min="9731" max="9731" width="18.33203125" bestFit="1" customWidth="1"/>
    <col min="9732" max="9732" width="18.33203125" customWidth="1"/>
    <col min="9985" max="9985" width="53.6640625" customWidth="1"/>
    <col min="9986" max="9986" width="22.5546875" customWidth="1"/>
    <col min="9987" max="9987" width="18.33203125" bestFit="1" customWidth="1"/>
    <col min="9988" max="9988" width="18.33203125" customWidth="1"/>
    <col min="10241" max="10241" width="53.6640625" customWidth="1"/>
    <col min="10242" max="10242" width="22.5546875" customWidth="1"/>
    <col min="10243" max="10243" width="18.33203125" bestFit="1" customWidth="1"/>
    <col min="10244" max="10244" width="18.33203125" customWidth="1"/>
    <col min="10497" max="10497" width="53.6640625" customWidth="1"/>
    <col min="10498" max="10498" width="22.5546875" customWidth="1"/>
    <col min="10499" max="10499" width="18.33203125" bestFit="1" customWidth="1"/>
    <col min="10500" max="10500" width="18.33203125" customWidth="1"/>
    <col min="10753" max="10753" width="53.6640625" customWidth="1"/>
    <col min="10754" max="10754" width="22.5546875" customWidth="1"/>
    <col min="10755" max="10755" width="18.33203125" bestFit="1" customWidth="1"/>
    <col min="10756" max="10756" width="18.33203125" customWidth="1"/>
    <col min="11009" max="11009" width="53.6640625" customWidth="1"/>
    <col min="11010" max="11010" width="22.5546875" customWidth="1"/>
    <col min="11011" max="11011" width="18.33203125" bestFit="1" customWidth="1"/>
    <col min="11012" max="11012" width="18.33203125" customWidth="1"/>
    <col min="11265" max="11265" width="53.6640625" customWidth="1"/>
    <col min="11266" max="11266" width="22.5546875" customWidth="1"/>
    <col min="11267" max="11267" width="18.33203125" bestFit="1" customWidth="1"/>
    <col min="11268" max="11268" width="18.33203125" customWidth="1"/>
    <col min="11521" max="11521" width="53.6640625" customWidth="1"/>
    <col min="11522" max="11522" width="22.5546875" customWidth="1"/>
    <col min="11523" max="11523" width="18.33203125" bestFit="1" customWidth="1"/>
    <col min="11524" max="11524" width="18.33203125" customWidth="1"/>
    <col min="11777" max="11777" width="53.6640625" customWidth="1"/>
    <col min="11778" max="11778" width="22.5546875" customWidth="1"/>
    <col min="11779" max="11779" width="18.33203125" bestFit="1" customWidth="1"/>
    <col min="11780" max="11780" width="18.33203125" customWidth="1"/>
    <col min="12033" max="12033" width="53.6640625" customWidth="1"/>
    <col min="12034" max="12034" width="22.5546875" customWidth="1"/>
    <col min="12035" max="12035" width="18.33203125" bestFit="1" customWidth="1"/>
    <col min="12036" max="12036" width="18.33203125" customWidth="1"/>
    <col min="12289" max="12289" width="53.6640625" customWidth="1"/>
    <col min="12290" max="12290" width="22.5546875" customWidth="1"/>
    <col min="12291" max="12291" width="18.33203125" bestFit="1" customWidth="1"/>
    <col min="12292" max="12292" width="18.33203125" customWidth="1"/>
    <col min="12545" max="12545" width="53.6640625" customWidth="1"/>
    <col min="12546" max="12546" width="22.5546875" customWidth="1"/>
    <col min="12547" max="12547" width="18.33203125" bestFit="1" customWidth="1"/>
    <col min="12548" max="12548" width="18.33203125" customWidth="1"/>
    <col min="12801" max="12801" width="53.6640625" customWidth="1"/>
    <col min="12802" max="12802" width="22.5546875" customWidth="1"/>
    <col min="12803" max="12803" width="18.33203125" bestFit="1" customWidth="1"/>
    <col min="12804" max="12804" width="18.33203125" customWidth="1"/>
    <col min="13057" max="13057" width="53.6640625" customWidth="1"/>
    <col min="13058" max="13058" width="22.5546875" customWidth="1"/>
    <col min="13059" max="13059" width="18.33203125" bestFit="1" customWidth="1"/>
    <col min="13060" max="13060" width="18.33203125" customWidth="1"/>
    <col min="13313" max="13313" width="53.6640625" customWidth="1"/>
    <col min="13314" max="13314" width="22.5546875" customWidth="1"/>
    <col min="13315" max="13315" width="18.33203125" bestFit="1" customWidth="1"/>
    <col min="13316" max="13316" width="18.33203125" customWidth="1"/>
    <col min="13569" max="13569" width="53.6640625" customWidth="1"/>
    <col min="13570" max="13570" width="22.5546875" customWidth="1"/>
    <col min="13571" max="13571" width="18.33203125" bestFit="1" customWidth="1"/>
    <col min="13572" max="13572" width="18.33203125" customWidth="1"/>
    <col min="13825" max="13825" width="53.6640625" customWidth="1"/>
    <col min="13826" max="13826" width="22.5546875" customWidth="1"/>
    <col min="13827" max="13827" width="18.33203125" bestFit="1" customWidth="1"/>
    <col min="13828" max="13828" width="18.33203125" customWidth="1"/>
    <col min="14081" max="14081" width="53.6640625" customWidth="1"/>
    <col min="14082" max="14082" width="22.5546875" customWidth="1"/>
    <col min="14083" max="14083" width="18.33203125" bestFit="1" customWidth="1"/>
    <col min="14084" max="14084" width="18.33203125" customWidth="1"/>
    <col min="14337" max="14337" width="53.6640625" customWidth="1"/>
    <col min="14338" max="14338" width="22.5546875" customWidth="1"/>
    <col min="14339" max="14339" width="18.33203125" bestFit="1" customWidth="1"/>
    <col min="14340" max="14340" width="18.33203125" customWidth="1"/>
    <col min="14593" max="14593" width="53.6640625" customWidth="1"/>
    <col min="14594" max="14594" width="22.5546875" customWidth="1"/>
    <col min="14595" max="14595" width="18.33203125" bestFit="1" customWidth="1"/>
    <col min="14596" max="14596" width="18.33203125" customWidth="1"/>
    <col min="14849" max="14849" width="53.6640625" customWidth="1"/>
    <col min="14850" max="14850" width="22.5546875" customWidth="1"/>
    <col min="14851" max="14851" width="18.33203125" bestFit="1" customWidth="1"/>
    <col min="14852" max="14852" width="18.33203125" customWidth="1"/>
    <col min="15105" max="15105" width="53.6640625" customWidth="1"/>
    <col min="15106" max="15106" width="22.5546875" customWidth="1"/>
    <col min="15107" max="15107" width="18.33203125" bestFit="1" customWidth="1"/>
    <col min="15108" max="15108" width="18.33203125" customWidth="1"/>
    <col min="15361" max="15361" width="53.6640625" customWidth="1"/>
    <col min="15362" max="15362" width="22.5546875" customWidth="1"/>
    <col min="15363" max="15363" width="18.33203125" bestFit="1" customWidth="1"/>
    <col min="15364" max="15364" width="18.33203125" customWidth="1"/>
    <col min="15617" max="15617" width="53.6640625" customWidth="1"/>
    <col min="15618" max="15618" width="22.5546875" customWidth="1"/>
    <col min="15619" max="15619" width="18.33203125" bestFit="1" customWidth="1"/>
    <col min="15620" max="15620" width="18.33203125" customWidth="1"/>
    <col min="15873" max="15873" width="53.6640625" customWidth="1"/>
    <col min="15874" max="15874" width="22.5546875" customWidth="1"/>
    <col min="15875" max="15875" width="18.33203125" bestFit="1" customWidth="1"/>
    <col min="15876" max="15876" width="18.33203125" customWidth="1"/>
    <col min="16129" max="16129" width="53.6640625" customWidth="1"/>
    <col min="16130" max="16130" width="22.5546875" customWidth="1"/>
    <col min="16131" max="16131" width="18.33203125" bestFit="1" customWidth="1"/>
    <col min="16132" max="16132" width="18.33203125" customWidth="1"/>
  </cols>
  <sheetData>
    <row r="1" spans="1:3">
      <c r="A1" s="38"/>
    </row>
    <row r="2" spans="1:3">
      <c r="A2" s="381" t="s">
        <v>931</v>
      </c>
      <c r="B2" s="381"/>
      <c r="C2" s="44"/>
    </row>
    <row r="3" spans="1:3">
      <c r="A3" s="3"/>
      <c r="B3" s="44"/>
      <c r="C3" s="44"/>
    </row>
    <row r="4" spans="1:3">
      <c r="A4" s="51" t="s">
        <v>3</v>
      </c>
      <c r="B4" s="44"/>
      <c r="C4" s="44"/>
    </row>
    <row r="5" spans="1:3">
      <c r="A5" s="44"/>
      <c r="B5" s="699"/>
      <c r="C5" s="699"/>
    </row>
    <row r="6" spans="1:3">
      <c r="A6" s="99" t="s">
        <v>294</v>
      </c>
      <c r="B6" s="70" t="str">
        <f>'Dane podstawowe'!B7</f>
        <v>01.01.2022-31.12.2022</v>
      </c>
      <c r="C6" s="70" t="str">
        <f>'Dane podstawowe'!B12</f>
        <v>01.01.2021-31.12.2021</v>
      </c>
    </row>
    <row r="7" spans="1:3">
      <c r="A7" s="463" t="s">
        <v>65</v>
      </c>
      <c r="B7" s="200">
        <v>37</v>
      </c>
      <c r="C7" s="200">
        <v>44</v>
      </c>
    </row>
    <row r="8" spans="1:3">
      <c r="A8" s="463" t="s">
        <v>682</v>
      </c>
      <c r="B8" s="200">
        <v>29</v>
      </c>
      <c r="C8" s="200">
        <v>42</v>
      </c>
    </row>
    <row r="9" spans="1:3">
      <c r="A9" s="463" t="s">
        <v>66</v>
      </c>
      <c r="B9" s="200">
        <v>18</v>
      </c>
      <c r="C9" s="200">
        <v>22</v>
      </c>
    </row>
    <row r="10" spans="1:3">
      <c r="A10" s="463" t="s">
        <v>541</v>
      </c>
      <c r="B10" s="200">
        <v>67</v>
      </c>
      <c r="C10" s="200">
        <v>49</v>
      </c>
    </row>
    <row r="11" spans="1:3" hidden="1">
      <c r="A11" s="463" t="s">
        <v>681</v>
      </c>
      <c r="B11" s="200"/>
      <c r="C11" s="200">
        <v>0</v>
      </c>
    </row>
    <row r="12" spans="1:3">
      <c r="A12" s="463" t="s">
        <v>542</v>
      </c>
      <c r="B12" s="200">
        <v>33</v>
      </c>
      <c r="C12" s="200">
        <v>9</v>
      </c>
    </row>
    <row r="13" spans="1:3">
      <c r="A13" s="55" t="s">
        <v>25</v>
      </c>
      <c r="B13" s="88">
        <f>SUM(B7:B12)</f>
        <v>184</v>
      </c>
      <c r="C13" s="88">
        <f>SUM(C7:C12)</f>
        <v>166</v>
      </c>
    </row>
    <row r="14" spans="1:3">
      <c r="A14" s="44"/>
      <c r="B14" s="44"/>
      <c r="C14" s="44"/>
    </row>
    <row r="15" spans="1:3">
      <c r="A15" s="44"/>
      <c r="B15" s="44"/>
      <c r="C15" s="44"/>
    </row>
    <row r="16" spans="1:3">
      <c r="A16" s="51" t="s">
        <v>24</v>
      </c>
      <c r="B16" s="44"/>
      <c r="C16" s="44"/>
    </row>
    <row r="17" spans="1:3">
      <c r="A17" s="44"/>
      <c r="B17" s="44"/>
      <c r="C17" s="44"/>
    </row>
    <row r="18" spans="1:3">
      <c r="A18" s="99" t="s">
        <v>294</v>
      </c>
      <c r="B18" s="70" t="str">
        <f>B6</f>
        <v>01.01.2022-31.12.2022</v>
      </c>
      <c r="C18" s="70" t="str">
        <f>C6</f>
        <v>01.01.2021-31.12.2021</v>
      </c>
    </row>
    <row r="19" spans="1:3">
      <c r="A19" s="87" t="s">
        <v>1</v>
      </c>
      <c r="B19" s="157">
        <v>62</v>
      </c>
      <c r="C19" s="157">
        <v>37</v>
      </c>
    </row>
    <row r="20" spans="1:3">
      <c r="A20" s="87" t="s">
        <v>2</v>
      </c>
      <c r="B20" s="157">
        <v>53</v>
      </c>
      <c r="C20" s="157">
        <v>42</v>
      </c>
    </row>
    <row r="21" spans="1:3">
      <c r="A21" s="56" t="s">
        <v>25</v>
      </c>
      <c r="B21" s="127">
        <f>B19-B20</f>
        <v>9</v>
      </c>
      <c r="C21" s="127">
        <f>C19-C20</f>
        <v>-5</v>
      </c>
    </row>
    <row r="22" spans="1:3">
      <c r="A22" s="44"/>
      <c r="B22" s="44"/>
      <c r="C22" s="44"/>
    </row>
  </sheetData>
  <mergeCells count="1">
    <mergeCell ref="B5:C5"/>
  </mergeCells>
  <phoneticPr fontId="37" type="noConversion"/>
  <pageMargins left="0.75" right="0.75" top="1" bottom="1" header="0.5" footer="0.5"/>
  <pageSetup paperSize="9" scale="6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1" sqref="E11"/>
    </sheetView>
  </sheetViews>
  <sheetFormatPr defaultColWidth="9.33203125" defaultRowHeight="13.2"/>
  <cols>
    <col min="1" max="1" width="55.33203125" customWidth="1"/>
    <col min="2" max="3" width="18.33203125" bestFit="1" customWidth="1"/>
    <col min="257" max="257" width="55.33203125" customWidth="1"/>
    <col min="258" max="259" width="18.33203125" bestFit="1" customWidth="1"/>
    <col min="513" max="513" width="55.33203125" customWidth="1"/>
    <col min="514" max="515" width="18.33203125" bestFit="1" customWidth="1"/>
    <col min="769" max="769" width="55.33203125" customWidth="1"/>
    <col min="770" max="771" width="18.33203125" bestFit="1" customWidth="1"/>
    <col min="1025" max="1025" width="55.33203125" customWidth="1"/>
    <col min="1026" max="1027" width="18.33203125" bestFit="1" customWidth="1"/>
    <col min="1281" max="1281" width="55.33203125" customWidth="1"/>
    <col min="1282" max="1283" width="18.33203125" bestFit="1" customWidth="1"/>
    <col min="1537" max="1537" width="55.33203125" customWidth="1"/>
    <col min="1538" max="1539" width="18.33203125" bestFit="1" customWidth="1"/>
    <col min="1793" max="1793" width="55.33203125" customWidth="1"/>
    <col min="1794" max="1795" width="18.33203125" bestFit="1" customWidth="1"/>
    <col min="2049" max="2049" width="55.33203125" customWidth="1"/>
    <col min="2050" max="2051" width="18.33203125" bestFit="1" customWidth="1"/>
    <col min="2305" max="2305" width="55.33203125" customWidth="1"/>
    <col min="2306" max="2307" width="18.33203125" bestFit="1" customWidth="1"/>
    <col min="2561" max="2561" width="55.33203125" customWidth="1"/>
    <col min="2562" max="2563" width="18.33203125" bestFit="1" customWidth="1"/>
    <col min="2817" max="2817" width="55.33203125" customWidth="1"/>
    <col min="2818" max="2819" width="18.33203125" bestFit="1" customWidth="1"/>
    <col min="3073" max="3073" width="55.33203125" customWidth="1"/>
    <col min="3074" max="3075" width="18.33203125" bestFit="1" customWidth="1"/>
    <col min="3329" max="3329" width="55.33203125" customWidth="1"/>
    <col min="3330" max="3331" width="18.33203125" bestFit="1" customWidth="1"/>
    <col min="3585" max="3585" width="55.33203125" customWidth="1"/>
    <col min="3586" max="3587" width="18.33203125" bestFit="1" customWidth="1"/>
    <col min="3841" max="3841" width="55.33203125" customWidth="1"/>
    <col min="3842" max="3843" width="18.33203125" bestFit="1" customWidth="1"/>
    <col min="4097" max="4097" width="55.33203125" customWidth="1"/>
    <col min="4098" max="4099" width="18.33203125" bestFit="1" customWidth="1"/>
    <col min="4353" max="4353" width="55.33203125" customWidth="1"/>
    <col min="4354" max="4355" width="18.33203125" bestFit="1" customWidth="1"/>
    <col min="4609" max="4609" width="55.33203125" customWidth="1"/>
    <col min="4610" max="4611" width="18.33203125" bestFit="1" customWidth="1"/>
    <col min="4865" max="4865" width="55.33203125" customWidth="1"/>
    <col min="4866" max="4867" width="18.33203125" bestFit="1" customWidth="1"/>
    <col min="5121" max="5121" width="55.33203125" customWidth="1"/>
    <col min="5122" max="5123" width="18.33203125" bestFit="1" customWidth="1"/>
    <col min="5377" max="5377" width="55.33203125" customWidth="1"/>
    <col min="5378" max="5379" width="18.33203125" bestFit="1" customWidth="1"/>
    <col min="5633" max="5633" width="55.33203125" customWidth="1"/>
    <col min="5634" max="5635" width="18.33203125" bestFit="1" customWidth="1"/>
    <col min="5889" max="5889" width="55.33203125" customWidth="1"/>
    <col min="5890" max="5891" width="18.33203125" bestFit="1" customWidth="1"/>
    <col min="6145" max="6145" width="55.33203125" customWidth="1"/>
    <col min="6146" max="6147" width="18.33203125" bestFit="1" customWidth="1"/>
    <col min="6401" max="6401" width="55.33203125" customWidth="1"/>
    <col min="6402" max="6403" width="18.33203125" bestFit="1" customWidth="1"/>
    <col min="6657" max="6657" width="55.33203125" customWidth="1"/>
    <col min="6658" max="6659" width="18.33203125" bestFit="1" customWidth="1"/>
    <col min="6913" max="6913" width="55.33203125" customWidth="1"/>
    <col min="6914" max="6915" width="18.33203125" bestFit="1" customWidth="1"/>
    <col min="7169" max="7169" width="55.33203125" customWidth="1"/>
    <col min="7170" max="7171" width="18.33203125" bestFit="1" customWidth="1"/>
    <col min="7425" max="7425" width="55.33203125" customWidth="1"/>
    <col min="7426" max="7427" width="18.33203125" bestFit="1" customWidth="1"/>
    <col min="7681" max="7681" width="55.33203125" customWidth="1"/>
    <col min="7682" max="7683" width="18.33203125" bestFit="1" customWidth="1"/>
    <col min="7937" max="7937" width="55.33203125" customWidth="1"/>
    <col min="7938" max="7939" width="18.33203125" bestFit="1" customWidth="1"/>
    <col min="8193" max="8193" width="55.33203125" customWidth="1"/>
    <col min="8194" max="8195" width="18.33203125" bestFit="1" customWidth="1"/>
    <col min="8449" max="8449" width="55.33203125" customWidth="1"/>
    <col min="8450" max="8451" width="18.33203125" bestFit="1" customWidth="1"/>
    <col min="8705" max="8705" width="55.33203125" customWidth="1"/>
    <col min="8706" max="8707" width="18.33203125" bestFit="1" customWidth="1"/>
    <col min="8961" max="8961" width="55.33203125" customWidth="1"/>
    <col min="8962" max="8963" width="18.33203125" bestFit="1" customWidth="1"/>
    <col min="9217" max="9217" width="55.33203125" customWidth="1"/>
    <col min="9218" max="9219" width="18.33203125" bestFit="1" customWidth="1"/>
    <col min="9473" max="9473" width="55.33203125" customWidth="1"/>
    <col min="9474" max="9475" width="18.33203125" bestFit="1" customWidth="1"/>
    <col min="9729" max="9729" width="55.33203125" customWidth="1"/>
    <col min="9730" max="9731" width="18.33203125" bestFit="1" customWidth="1"/>
    <col min="9985" max="9985" width="55.33203125" customWidth="1"/>
    <col min="9986" max="9987" width="18.33203125" bestFit="1" customWidth="1"/>
    <col min="10241" max="10241" width="55.33203125" customWidth="1"/>
    <col min="10242" max="10243" width="18.33203125" bestFit="1" customWidth="1"/>
    <col min="10497" max="10497" width="55.33203125" customWidth="1"/>
    <col min="10498" max="10499" width="18.33203125" bestFit="1" customWidth="1"/>
    <col min="10753" max="10753" width="55.33203125" customWidth="1"/>
    <col min="10754" max="10755" width="18.33203125" bestFit="1" customWidth="1"/>
    <col min="11009" max="11009" width="55.33203125" customWidth="1"/>
    <col min="11010" max="11011" width="18.33203125" bestFit="1" customWidth="1"/>
    <col min="11265" max="11265" width="55.33203125" customWidth="1"/>
    <col min="11266" max="11267" width="18.33203125" bestFit="1" customWidth="1"/>
    <col min="11521" max="11521" width="55.33203125" customWidth="1"/>
    <col min="11522" max="11523" width="18.33203125" bestFit="1" customWidth="1"/>
    <col min="11777" max="11777" width="55.33203125" customWidth="1"/>
    <col min="11778" max="11779" width="18.33203125" bestFit="1" customWidth="1"/>
    <col min="12033" max="12033" width="55.33203125" customWidth="1"/>
    <col min="12034" max="12035" width="18.33203125" bestFit="1" customWidth="1"/>
    <col min="12289" max="12289" width="55.33203125" customWidth="1"/>
    <col min="12290" max="12291" width="18.33203125" bestFit="1" customWidth="1"/>
    <col min="12545" max="12545" width="55.33203125" customWidth="1"/>
    <col min="12546" max="12547" width="18.33203125" bestFit="1" customWidth="1"/>
    <col min="12801" max="12801" width="55.33203125" customWidth="1"/>
    <col min="12802" max="12803" width="18.33203125" bestFit="1" customWidth="1"/>
    <col min="13057" max="13057" width="55.33203125" customWidth="1"/>
    <col min="13058" max="13059" width="18.33203125" bestFit="1" customWidth="1"/>
    <col min="13313" max="13313" width="55.33203125" customWidth="1"/>
    <col min="13314" max="13315" width="18.33203125" bestFit="1" customWidth="1"/>
    <col min="13569" max="13569" width="55.33203125" customWidth="1"/>
    <col min="13570" max="13571" width="18.33203125" bestFit="1" customWidth="1"/>
    <col min="13825" max="13825" width="55.33203125" customWidth="1"/>
    <col min="13826" max="13827" width="18.33203125" bestFit="1" customWidth="1"/>
    <col min="14081" max="14081" width="55.33203125" customWidth="1"/>
    <col min="14082" max="14083" width="18.33203125" bestFit="1" customWidth="1"/>
    <col min="14337" max="14337" width="55.33203125" customWidth="1"/>
    <col min="14338" max="14339" width="18.33203125" bestFit="1" customWidth="1"/>
    <col min="14593" max="14593" width="55.33203125" customWidth="1"/>
    <col min="14594" max="14595" width="18.33203125" bestFit="1" customWidth="1"/>
    <col min="14849" max="14849" width="55.33203125" customWidth="1"/>
    <col min="14850" max="14851" width="18.33203125" bestFit="1" customWidth="1"/>
    <col min="15105" max="15105" width="55.33203125" customWidth="1"/>
    <col min="15106" max="15107" width="18.33203125" bestFit="1" customWidth="1"/>
    <col min="15361" max="15361" width="55.33203125" customWidth="1"/>
    <col min="15362" max="15363" width="18.33203125" bestFit="1" customWidth="1"/>
    <col min="15617" max="15617" width="55.33203125" customWidth="1"/>
    <col min="15618" max="15619" width="18.33203125" bestFit="1" customWidth="1"/>
    <col min="15873" max="15873" width="55.33203125" customWidth="1"/>
    <col min="15874" max="15875" width="18.33203125" bestFit="1" customWidth="1"/>
    <col min="16129" max="16129" width="55.33203125" customWidth="1"/>
    <col min="16130" max="16131" width="18.33203125" bestFit="1" customWidth="1"/>
  </cols>
  <sheetData>
    <row r="1" spans="1:3">
      <c r="A1" s="511"/>
    </row>
    <row r="2" spans="1:3" s="406" customFormat="1">
      <c r="A2" s="601" t="s">
        <v>981</v>
      </c>
    </row>
    <row r="3" spans="1:3" ht="13.8" thickBot="1">
      <c r="A3" s="3"/>
      <c r="B3" s="44"/>
      <c r="C3" s="44"/>
    </row>
    <row r="4" spans="1:3" ht="13.8" thickBot="1">
      <c r="A4" s="602" t="s">
        <v>962</v>
      </c>
      <c r="B4" s="603">
        <v>44926</v>
      </c>
    </row>
    <row r="5" spans="1:3" ht="13.8" thickBot="1">
      <c r="A5" s="604" t="s">
        <v>963</v>
      </c>
      <c r="B5" s="605" t="s">
        <v>964</v>
      </c>
    </row>
    <row r="6" spans="1:3" ht="13.8" thickBot="1">
      <c r="A6" s="604" t="s">
        <v>965</v>
      </c>
      <c r="B6" s="605" t="s">
        <v>966</v>
      </c>
    </row>
    <row r="7" spans="1:3" ht="13.8" thickBot="1">
      <c r="A7" s="604" t="s">
        <v>967</v>
      </c>
      <c r="B7" s="605" t="s">
        <v>968</v>
      </c>
    </row>
    <row r="8" spans="1:3">
      <c r="A8" s="733" t="s">
        <v>969</v>
      </c>
      <c r="B8" s="606" t="s">
        <v>970</v>
      </c>
    </row>
    <row r="9" spans="1:3" ht="13.8" thickBot="1">
      <c r="A9" s="734"/>
      <c r="B9" s="605" t="s">
        <v>971</v>
      </c>
    </row>
    <row r="10" spans="1:3" ht="13.8" thickBot="1">
      <c r="A10" s="604" t="s">
        <v>972</v>
      </c>
      <c r="B10" s="607">
        <v>0.1</v>
      </c>
    </row>
    <row r="11" spans="1:3" ht="13.8" thickBot="1">
      <c r="A11" s="604" t="s">
        <v>973</v>
      </c>
      <c r="B11" s="607">
        <v>7</v>
      </c>
    </row>
    <row r="12" spans="1:3" ht="13.8" thickBot="1">
      <c r="A12" s="604" t="s">
        <v>974</v>
      </c>
      <c r="B12" s="608">
        <v>0.54500000000000004</v>
      </c>
    </row>
    <row r="13" spans="1:3" ht="13.8" thickBot="1">
      <c r="A13" s="604" t="s">
        <v>975</v>
      </c>
      <c r="B13" s="608">
        <v>1.7000000000000001E-2</v>
      </c>
    </row>
    <row r="14" spans="1:3" ht="13.8" thickBot="1">
      <c r="A14" s="604" t="s">
        <v>976</v>
      </c>
      <c r="B14" s="605" t="s">
        <v>977</v>
      </c>
    </row>
    <row r="15" spans="1:3" ht="13.8" thickBot="1">
      <c r="A15" s="604" t="s">
        <v>978</v>
      </c>
      <c r="B15" s="607">
        <v>0</v>
      </c>
    </row>
    <row r="16" spans="1:3" ht="13.8" thickBot="1">
      <c r="A16" s="604" t="s">
        <v>979</v>
      </c>
      <c r="B16" s="605" t="s">
        <v>980</v>
      </c>
    </row>
  </sheetData>
  <mergeCells count="1">
    <mergeCell ref="A8:A9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0"/>
  <sheetViews>
    <sheetView showGridLines="0" view="pageBreakPreview" zoomScaleNormal="100" workbookViewId="0">
      <selection activeCell="B4" sqref="B4:D10"/>
    </sheetView>
  </sheetViews>
  <sheetFormatPr defaultRowHeight="13.2"/>
  <cols>
    <col min="2" max="2" width="46.5546875" customWidth="1"/>
    <col min="3" max="4" width="13.6640625" customWidth="1"/>
    <col min="5" max="5" width="14.6640625" customWidth="1"/>
  </cols>
  <sheetData>
    <row r="2" spans="2:4">
      <c r="B2" s="381" t="s">
        <v>932</v>
      </c>
      <c r="C2" s="381"/>
      <c r="D2" s="381"/>
    </row>
    <row r="3" spans="2:4">
      <c r="B3" s="340"/>
    </row>
    <row r="4" spans="2:4" ht="20.399999999999999">
      <c r="B4" s="342" t="s">
        <v>760</v>
      </c>
      <c r="C4" s="70" t="str">
        <f>'Dane podstawowe'!B7</f>
        <v>01.01.2022-31.12.2022</v>
      </c>
      <c r="D4" s="70" t="str">
        <f>'Dane podstawowe'!B12</f>
        <v>01.01.2021-31.12.2021</v>
      </c>
    </row>
    <row r="5" spans="2:4" ht="20.399999999999999">
      <c r="B5" s="36" t="s">
        <v>282</v>
      </c>
      <c r="C5" s="200">
        <v>27000</v>
      </c>
      <c r="D5" s="200">
        <v>27000</v>
      </c>
    </row>
    <row r="6" spans="2:4">
      <c r="B6" s="433" t="s">
        <v>984</v>
      </c>
      <c r="C6" s="200">
        <v>3000</v>
      </c>
      <c r="D6" s="200">
        <v>3000</v>
      </c>
    </row>
    <row r="7" spans="2:4" ht="30.6">
      <c r="B7" s="433" t="s">
        <v>732</v>
      </c>
      <c r="C7" s="200">
        <v>18000</v>
      </c>
      <c r="D7" s="200">
        <v>18000</v>
      </c>
    </row>
    <row r="8" spans="2:4">
      <c r="B8" s="433" t="s">
        <v>733</v>
      </c>
      <c r="C8" s="200">
        <v>5000</v>
      </c>
      <c r="D8" s="200">
        <v>5000</v>
      </c>
    </row>
    <row r="9" spans="2:4" hidden="1">
      <c r="B9" s="433" t="s">
        <v>565</v>
      </c>
      <c r="C9" s="200">
        <v>0</v>
      </c>
      <c r="D9" s="200">
        <v>0</v>
      </c>
    </row>
    <row r="10" spans="2:4">
      <c r="B10" s="60" t="s">
        <v>474</v>
      </c>
      <c r="C10" s="88">
        <f>SUM(C5:C9)</f>
        <v>53000</v>
      </c>
      <c r="D10" s="88">
        <f>SUM(D5:D9)</f>
        <v>53000</v>
      </c>
    </row>
  </sheetData>
  <phoneticPr fontId="42" type="noConversion"/>
  <pageMargins left="0.75" right="0.75" top="1" bottom="1" header="0.5" footer="0.5"/>
  <pageSetup paperSize="9" scale="82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/>
  <dimension ref="A1:I76"/>
  <sheetViews>
    <sheetView showGridLines="0" view="pageBreakPreview" topLeftCell="A2" zoomScaleNormal="100" zoomScaleSheetLayoutView="100" workbookViewId="0">
      <selection activeCell="E60" sqref="E60"/>
    </sheetView>
  </sheetViews>
  <sheetFormatPr defaultColWidth="9.33203125" defaultRowHeight="13.2"/>
  <cols>
    <col min="1" max="1" width="56.33203125" style="44" customWidth="1"/>
    <col min="2" max="3" width="13.6640625" style="44" customWidth="1"/>
    <col min="4" max="6" width="9.33203125" style="44"/>
  </cols>
  <sheetData>
    <row r="1" spans="1:9">
      <c r="A1" s="38"/>
      <c r="B1"/>
      <c r="C1"/>
      <c r="D1"/>
      <c r="E1"/>
      <c r="F1"/>
    </row>
    <row r="2" spans="1:9" s="1" customFormat="1">
      <c r="A2" s="381" t="s">
        <v>933</v>
      </c>
      <c r="B2" s="381"/>
      <c r="C2" s="381"/>
    </row>
    <row r="3" spans="1:9" s="1" customFormat="1" ht="10.199999999999999"/>
    <row r="4" spans="1:9" s="1" customFormat="1" ht="10.199999999999999">
      <c r="A4" s="99" t="s">
        <v>294</v>
      </c>
      <c r="B4" s="416">
        <f>'Dane podstawowe'!$B$9</f>
        <v>44926</v>
      </c>
      <c r="C4" s="416">
        <v>44561</v>
      </c>
      <c r="G4" s="91"/>
      <c r="H4" s="91"/>
      <c r="I4" s="91"/>
    </row>
    <row r="5" spans="1:9" s="4" customFormat="1" ht="10.199999999999999">
      <c r="A5" s="58" t="s">
        <v>355</v>
      </c>
      <c r="B5" s="123">
        <v>4324002</v>
      </c>
      <c r="C5" s="123">
        <v>3962062</v>
      </c>
      <c r="D5" s="34"/>
      <c r="E5" s="34"/>
      <c r="F5" s="34"/>
      <c r="G5" s="148"/>
      <c r="H5" s="148"/>
      <c r="I5" s="148"/>
    </row>
    <row r="6" spans="1:9" s="4" customFormat="1" ht="10.199999999999999">
      <c r="A6" s="63" t="s">
        <v>379</v>
      </c>
      <c r="B6" s="217">
        <v>0</v>
      </c>
      <c r="C6" s="217">
        <v>0</v>
      </c>
      <c r="D6" s="34"/>
      <c r="E6" s="34"/>
      <c r="F6" s="34"/>
      <c r="G6" s="148"/>
      <c r="H6" s="148"/>
      <c r="I6" s="148"/>
    </row>
    <row r="7" spans="1:9" s="4" customFormat="1" ht="20.399999999999999">
      <c r="A7" s="63" t="s">
        <v>380</v>
      </c>
      <c r="B7" s="82">
        <v>0</v>
      </c>
      <c r="C7" s="82">
        <v>0</v>
      </c>
      <c r="D7" s="34"/>
      <c r="E7" s="34"/>
      <c r="F7" s="34"/>
      <c r="G7" s="148"/>
      <c r="H7" s="148"/>
      <c r="I7" s="148"/>
    </row>
    <row r="8" spans="1:9" s="4" customFormat="1" ht="20.399999999999999">
      <c r="A8" s="58" t="s">
        <v>356</v>
      </c>
      <c r="B8" s="123">
        <f>B5+B6+B7</f>
        <v>4324002</v>
      </c>
      <c r="C8" s="123">
        <f>C5+C6+C7</f>
        <v>3962062</v>
      </c>
      <c r="D8" s="34"/>
      <c r="E8" s="34"/>
      <c r="F8" s="34"/>
      <c r="G8" s="148"/>
      <c r="H8" s="148"/>
      <c r="I8" s="148"/>
    </row>
    <row r="9" spans="1:9" s="1" customFormat="1" ht="30" customHeight="1">
      <c r="A9" s="44"/>
      <c r="B9" s="160"/>
      <c r="C9" s="160"/>
      <c r="D9" s="138"/>
      <c r="E9" s="138"/>
      <c r="F9" s="138"/>
      <c r="G9" s="91"/>
      <c r="H9" s="91"/>
      <c r="I9" s="91"/>
    </row>
    <row r="10" spans="1:9" s="1" customFormat="1" ht="10.199999999999999">
      <c r="A10" s="99" t="s">
        <v>294</v>
      </c>
      <c r="B10" s="416">
        <f>'Dane podstawowe'!$B$9</f>
        <v>44926</v>
      </c>
      <c r="C10" s="416">
        <f>C4</f>
        <v>44561</v>
      </c>
      <c r="D10" s="44"/>
      <c r="E10" s="44"/>
      <c r="F10" s="44"/>
    </row>
    <row r="11" spans="1:9" s="1" customFormat="1" ht="10.199999999999999">
      <c r="A11" s="55" t="s">
        <v>397</v>
      </c>
      <c r="B11" s="123">
        <f>B12+B13+B14</f>
        <v>2931388</v>
      </c>
      <c r="C11" s="123">
        <f>C12+C13+C14</f>
        <v>3674656</v>
      </c>
      <c r="D11" s="44"/>
      <c r="E11" s="44"/>
      <c r="F11" s="44"/>
    </row>
    <row r="12" spans="1:9" s="1" customFormat="1" ht="10.199999999999999">
      <c r="A12" s="54" t="s">
        <v>46</v>
      </c>
      <c r="B12" s="217">
        <v>1730140</v>
      </c>
      <c r="C12" s="217">
        <v>2449065</v>
      </c>
      <c r="D12" s="44"/>
      <c r="E12" s="44"/>
      <c r="F12" s="44"/>
    </row>
    <row r="13" spans="1:9" s="1" customFormat="1" ht="10.199999999999999">
      <c r="A13" s="54" t="s">
        <v>47</v>
      </c>
      <c r="B13" s="217">
        <v>332770</v>
      </c>
      <c r="C13" s="217">
        <v>325068</v>
      </c>
      <c r="D13" s="44"/>
      <c r="E13" s="44"/>
      <c r="F13" s="44"/>
    </row>
    <row r="14" spans="1:9" s="1" customFormat="1" ht="10.199999999999999">
      <c r="A14" s="54" t="s">
        <v>1062</v>
      </c>
      <c r="B14" s="217">
        <v>868478</v>
      </c>
      <c r="C14" s="217">
        <v>900523</v>
      </c>
      <c r="D14" s="44"/>
      <c r="E14" s="44"/>
      <c r="F14" s="44"/>
    </row>
    <row r="15" spans="1:9" s="1" customFormat="1" ht="10.199999999999999">
      <c r="A15" s="54"/>
      <c r="B15" s="123"/>
      <c r="C15" s="123"/>
      <c r="D15" s="44"/>
      <c r="E15" s="44"/>
      <c r="F15" s="44"/>
    </row>
    <row r="16" spans="1:9" s="1" customFormat="1" ht="10.199999999999999" hidden="1">
      <c r="A16" s="55" t="s">
        <v>357</v>
      </c>
      <c r="B16" s="123">
        <f>SUM(B18:B25)</f>
        <v>0</v>
      </c>
      <c r="C16" s="123">
        <f>SUM(C17:C25)</f>
        <v>33668</v>
      </c>
      <c r="D16" s="44"/>
      <c r="E16" s="44"/>
      <c r="F16" s="44"/>
    </row>
    <row r="17" spans="1:6" s="1" customFormat="1" ht="10.199999999999999" hidden="1">
      <c r="A17" s="54" t="s">
        <v>358</v>
      </c>
      <c r="B17" s="44">
        <v>0</v>
      </c>
      <c r="C17" s="217">
        <v>0</v>
      </c>
      <c r="D17" s="44"/>
      <c r="E17" s="44"/>
      <c r="F17" s="44"/>
    </row>
    <row r="18" spans="1:6" s="1" customFormat="1" ht="10.199999999999999" hidden="1">
      <c r="A18" s="54" t="s">
        <v>359</v>
      </c>
      <c r="B18" s="217"/>
      <c r="C18" s="217">
        <v>33507</v>
      </c>
      <c r="D18" s="44"/>
      <c r="E18" s="44"/>
      <c r="F18" s="44"/>
    </row>
    <row r="19" spans="1:6" s="1" customFormat="1" ht="10.199999999999999" hidden="1">
      <c r="A19" s="54" t="s">
        <v>360</v>
      </c>
      <c r="B19" s="44"/>
      <c r="C19" s="44">
        <v>0</v>
      </c>
      <c r="D19" s="44"/>
      <c r="E19" s="44"/>
      <c r="F19" s="44"/>
    </row>
    <row r="20" spans="1:6" s="1" customFormat="1" ht="10.199999999999999" hidden="1">
      <c r="A20" s="54" t="s">
        <v>566</v>
      </c>
      <c r="B20" s="217"/>
      <c r="C20" s="217">
        <v>20966</v>
      </c>
      <c r="D20" s="44"/>
      <c r="E20" s="44"/>
      <c r="F20" s="44"/>
    </row>
    <row r="21" spans="1:6" s="1" customFormat="1" ht="10.199999999999999" hidden="1">
      <c r="A21" s="54" t="s">
        <v>361</v>
      </c>
      <c r="B21" s="217"/>
      <c r="C21" s="217">
        <v>0</v>
      </c>
      <c r="D21" s="44"/>
      <c r="E21" s="44"/>
      <c r="F21" s="44"/>
    </row>
    <row r="22" spans="1:6" s="1" customFormat="1" ht="10.199999999999999" hidden="1">
      <c r="A22" s="54" t="s">
        <v>567</v>
      </c>
      <c r="B22" s="217"/>
      <c r="C22" s="217">
        <v>0</v>
      </c>
      <c r="D22" s="44"/>
      <c r="E22" s="44"/>
      <c r="F22" s="44"/>
    </row>
    <row r="23" spans="1:6" s="1" customFormat="1" ht="10.199999999999999" hidden="1">
      <c r="A23" s="54" t="s">
        <v>362</v>
      </c>
      <c r="B23" s="217"/>
      <c r="C23" s="217">
        <v>-20805</v>
      </c>
      <c r="D23" s="44"/>
      <c r="E23" s="44"/>
      <c r="F23" s="44"/>
    </row>
    <row r="24" spans="1:6" s="1" customFormat="1" ht="10.199999999999999" hidden="1">
      <c r="A24" s="54" t="s">
        <v>363</v>
      </c>
      <c r="B24" s="217">
        <v>0</v>
      </c>
      <c r="C24" s="217">
        <v>0</v>
      </c>
      <c r="D24" s="44"/>
      <c r="E24" s="44"/>
      <c r="F24" s="44"/>
    </row>
    <row r="25" spans="1:6" s="1" customFormat="1" ht="10.199999999999999" hidden="1">
      <c r="A25" s="54" t="s">
        <v>560</v>
      </c>
      <c r="B25" s="217">
        <v>0</v>
      </c>
      <c r="C25" s="217">
        <v>0</v>
      </c>
      <c r="D25" s="44"/>
      <c r="E25" s="44"/>
      <c r="F25" s="44"/>
    </row>
    <row r="26" spans="1:6" s="1" customFormat="1" ht="10.199999999999999">
      <c r="A26" s="55" t="s">
        <v>364</v>
      </c>
      <c r="B26" s="123">
        <f>SUM(B27:B35)</f>
        <v>-798490</v>
      </c>
      <c r="C26" s="123">
        <f>SUM(C27:C35)</f>
        <v>225796</v>
      </c>
      <c r="D26" s="44"/>
      <c r="E26" s="44"/>
      <c r="F26" s="44"/>
    </row>
    <row r="27" spans="1:6" s="1" customFormat="1" ht="10.199999999999999">
      <c r="A27" s="621" t="s">
        <v>1039</v>
      </c>
      <c r="B27" s="217">
        <v>-837218</v>
      </c>
      <c r="C27" s="217">
        <v>0</v>
      </c>
      <c r="D27" s="44"/>
      <c r="E27" s="44"/>
      <c r="F27" s="44"/>
    </row>
    <row r="28" spans="1:6" s="1" customFormat="1" ht="10.199999999999999">
      <c r="A28" s="54" t="s">
        <v>748</v>
      </c>
      <c r="B28" s="217">
        <v>0</v>
      </c>
      <c r="C28" s="217">
        <v>177519</v>
      </c>
      <c r="D28" s="44"/>
      <c r="E28" s="44"/>
      <c r="F28" s="44"/>
    </row>
    <row r="29" spans="1:6" s="1" customFormat="1" ht="10.199999999999999">
      <c r="A29" s="54" t="s">
        <v>749</v>
      </c>
      <c r="B29" s="217">
        <v>0</v>
      </c>
      <c r="C29" s="217">
        <v>-6898</v>
      </c>
      <c r="D29" s="44"/>
      <c r="E29" s="44"/>
      <c r="F29" s="44"/>
    </row>
    <row r="30" spans="1:6" s="1" customFormat="1" ht="10.199999999999999">
      <c r="A30" s="54" t="s">
        <v>750</v>
      </c>
      <c r="B30" s="217">
        <v>22051</v>
      </c>
      <c r="C30" s="217">
        <v>66166</v>
      </c>
      <c r="D30" s="44"/>
      <c r="E30" s="44"/>
      <c r="F30" s="44"/>
    </row>
    <row r="31" spans="1:6" s="1" customFormat="1" ht="10.199999999999999">
      <c r="A31" s="54" t="s">
        <v>751</v>
      </c>
      <c r="B31" s="217">
        <f>229455-212778</f>
        <v>16677</v>
      </c>
      <c r="C31" s="217">
        <v>21245</v>
      </c>
      <c r="D31" s="44"/>
      <c r="E31" s="44"/>
      <c r="F31" s="44"/>
    </row>
    <row r="32" spans="1:6" s="1" customFormat="1" ht="10.199999999999999">
      <c r="A32" s="54" t="s">
        <v>752</v>
      </c>
      <c r="B32" s="217">
        <v>0</v>
      </c>
      <c r="C32" s="217">
        <v>-32236</v>
      </c>
      <c r="D32" s="44"/>
      <c r="E32" s="44"/>
      <c r="F32" s="44"/>
    </row>
    <row r="33" spans="1:6" s="1" customFormat="1" ht="10.199999999999999" hidden="1">
      <c r="A33" s="54" t="s">
        <v>755</v>
      </c>
      <c r="B33" s="217">
        <v>0</v>
      </c>
      <c r="C33" s="217">
        <v>0</v>
      </c>
      <c r="D33" s="44"/>
      <c r="E33" s="44"/>
      <c r="F33" s="44"/>
    </row>
    <row r="34" spans="1:6" s="1" customFormat="1" ht="10.199999999999999" hidden="1">
      <c r="A34" s="54" t="s">
        <v>756</v>
      </c>
      <c r="B34" s="217">
        <v>0</v>
      </c>
      <c r="C34" s="217">
        <v>0</v>
      </c>
      <c r="D34" s="44"/>
      <c r="E34" s="44"/>
      <c r="F34" s="44"/>
    </row>
    <row r="35" spans="1:6" s="1" customFormat="1" ht="10.199999999999999" hidden="1">
      <c r="A35" s="54" t="s">
        <v>757</v>
      </c>
      <c r="B35" s="217">
        <v>0</v>
      </c>
      <c r="C35" s="217">
        <v>0</v>
      </c>
      <c r="D35" s="44"/>
      <c r="E35" s="44"/>
      <c r="F35" s="44"/>
    </row>
    <row r="36" spans="1:6" s="1" customFormat="1" ht="10.199999999999999">
      <c r="A36" s="54"/>
      <c r="B36" s="217"/>
      <c r="C36" s="217"/>
      <c r="D36" s="44"/>
      <c r="E36" s="44"/>
      <c r="F36" s="44"/>
    </row>
    <row r="37" spans="1:6" s="1" customFormat="1" ht="10.199999999999999">
      <c r="A37" s="55" t="s">
        <v>89</v>
      </c>
      <c r="B37" s="123">
        <f>SUM(B38:B43)</f>
        <v>621962</v>
      </c>
      <c r="C37" s="123">
        <f>SUM(C38:C43)</f>
        <v>244135</v>
      </c>
      <c r="D37" s="44"/>
      <c r="E37" s="44"/>
      <c r="F37" s="44"/>
    </row>
    <row r="38" spans="1:6" s="1" customFormat="1" ht="10.199999999999999">
      <c r="A38" s="54" t="s">
        <v>398</v>
      </c>
      <c r="B38" s="217">
        <v>167102</v>
      </c>
      <c r="C38" s="217">
        <v>52808</v>
      </c>
      <c r="D38" s="44"/>
      <c r="E38" s="44"/>
      <c r="F38" s="44"/>
    </row>
    <row r="39" spans="1:6" s="1" customFormat="1" ht="10.199999999999999">
      <c r="A39" s="54" t="s">
        <v>51</v>
      </c>
      <c r="B39" s="217">
        <v>454860</v>
      </c>
      <c r="C39" s="217">
        <v>191327</v>
      </c>
      <c r="D39" s="44"/>
      <c r="E39" s="44"/>
      <c r="F39" s="44"/>
    </row>
    <row r="40" spans="1:6" s="1" customFormat="1" ht="10.199999999999999" hidden="1">
      <c r="A40" s="54" t="s">
        <v>575</v>
      </c>
      <c r="B40" s="217">
        <v>0</v>
      </c>
      <c r="C40" s="217">
        <v>0</v>
      </c>
      <c r="D40" s="44"/>
      <c r="E40" s="44"/>
      <c r="F40" s="44"/>
    </row>
    <row r="41" spans="1:6" s="1" customFormat="1" ht="20.399999999999999" hidden="1">
      <c r="A41" s="54" t="s">
        <v>52</v>
      </c>
      <c r="B41" s="217">
        <v>0</v>
      </c>
      <c r="C41" s="217">
        <v>0</v>
      </c>
      <c r="D41" s="44"/>
      <c r="E41" s="44"/>
      <c r="F41" s="44"/>
    </row>
    <row r="42" spans="1:6" s="1" customFormat="1" ht="20.399999999999999" hidden="1">
      <c r="A42" s="54" t="s">
        <v>53</v>
      </c>
      <c r="B42" s="217">
        <v>0</v>
      </c>
      <c r="C42" s="217">
        <v>0</v>
      </c>
      <c r="D42" s="44"/>
      <c r="E42" s="44"/>
      <c r="F42" s="44"/>
    </row>
    <row r="43" spans="1:6" s="1" customFormat="1" ht="10.199999999999999">
      <c r="A43" s="55"/>
      <c r="B43" s="123"/>
      <c r="C43" s="123"/>
      <c r="D43" s="44"/>
      <c r="E43" s="44"/>
      <c r="F43" s="44"/>
    </row>
    <row r="44" spans="1:6" s="1" customFormat="1" ht="10.199999999999999">
      <c r="A44" s="55" t="s">
        <v>90</v>
      </c>
      <c r="B44" s="123">
        <f>SUM(B45:B48)</f>
        <v>0</v>
      </c>
      <c r="C44" s="123">
        <f>SUM(C45:C48)</f>
        <v>0</v>
      </c>
      <c r="D44" s="44"/>
      <c r="E44" s="44"/>
      <c r="F44" s="44"/>
    </row>
    <row r="45" spans="1:6" s="1" customFormat="1" ht="10.199999999999999">
      <c r="A45" s="54" t="s">
        <v>48</v>
      </c>
      <c r="B45" s="217">
        <v>0</v>
      </c>
      <c r="C45" s="217">
        <v>0</v>
      </c>
      <c r="D45" s="44"/>
      <c r="E45" s="44"/>
      <c r="F45" s="44"/>
    </row>
    <row r="46" spans="1:6" s="1" customFormat="1" ht="20.399999999999999" hidden="1">
      <c r="A46" s="54" t="s">
        <v>49</v>
      </c>
      <c r="B46" s="217">
        <v>0</v>
      </c>
      <c r="C46" s="217">
        <v>0</v>
      </c>
      <c r="D46" s="44"/>
      <c r="E46" s="44"/>
      <c r="F46" s="44"/>
    </row>
    <row r="47" spans="1:6" s="1" customFormat="1" ht="20.399999999999999" hidden="1">
      <c r="A47" s="54" t="s">
        <v>50</v>
      </c>
      <c r="B47" s="217">
        <v>0</v>
      </c>
      <c r="C47" s="217">
        <v>0</v>
      </c>
      <c r="D47" s="44"/>
      <c r="E47" s="44"/>
      <c r="F47" s="44"/>
    </row>
    <row r="48" spans="1:6" s="1" customFormat="1" ht="10.199999999999999">
      <c r="A48" s="54"/>
      <c r="B48" s="123"/>
      <c r="C48" s="123"/>
      <c r="D48" s="44"/>
      <c r="E48" s="44"/>
      <c r="F48" s="44"/>
    </row>
    <row r="49" spans="1:6" s="1" customFormat="1" ht="10.199999999999999">
      <c r="A49" s="55" t="s">
        <v>365</v>
      </c>
      <c r="B49" s="123">
        <f>SUM(B50:B58)</f>
        <v>-2449708</v>
      </c>
      <c r="C49" s="123">
        <f>SUM(C50:C58)</f>
        <v>-1215116</v>
      </c>
      <c r="D49" s="44"/>
      <c r="E49" s="44"/>
      <c r="F49" s="44"/>
    </row>
    <row r="50" spans="1:6" s="1" customFormat="1" ht="10.199999999999999">
      <c r="A50" s="54" t="s">
        <v>366</v>
      </c>
      <c r="B50" s="217">
        <v>-2912222</v>
      </c>
      <c r="C50" s="217">
        <v>-1449976</v>
      </c>
      <c r="D50" s="44"/>
      <c r="E50" s="44"/>
      <c r="F50" s="44"/>
    </row>
    <row r="51" spans="1:6" s="1" customFormat="1" ht="10.199999999999999">
      <c r="A51" s="54" t="s">
        <v>367</v>
      </c>
      <c r="B51" s="217">
        <v>0</v>
      </c>
      <c r="C51" s="217">
        <v>55489</v>
      </c>
      <c r="D51" s="44"/>
      <c r="E51" s="44"/>
      <c r="F51" s="44"/>
    </row>
    <row r="52" spans="1:6" s="1" customFormat="1" ht="10.199999999999999">
      <c r="A52" s="54" t="s">
        <v>959</v>
      </c>
      <c r="B52" s="217">
        <v>462514</v>
      </c>
      <c r="C52" s="217">
        <v>179371</v>
      </c>
      <c r="D52" s="44"/>
      <c r="E52" s="44"/>
      <c r="F52" s="44"/>
    </row>
    <row r="53" spans="1:6" s="1" customFormat="1" ht="10.199999999999999" hidden="1">
      <c r="A53" s="54" t="s">
        <v>368</v>
      </c>
      <c r="B53" s="217">
        <v>0</v>
      </c>
      <c r="C53" s="217">
        <v>0</v>
      </c>
      <c r="D53" s="44"/>
      <c r="E53" s="44"/>
      <c r="F53" s="44"/>
    </row>
    <row r="54" spans="1:6" s="1" customFormat="1" ht="10.199999999999999" hidden="1">
      <c r="A54" s="54" t="s">
        <v>369</v>
      </c>
      <c r="B54" s="217">
        <v>0</v>
      </c>
      <c r="C54" s="217">
        <v>0</v>
      </c>
      <c r="D54" s="44"/>
      <c r="E54" s="44"/>
      <c r="F54" s="44"/>
    </row>
    <row r="55" spans="1:6" s="1" customFormat="1" ht="10.199999999999999" hidden="1">
      <c r="A55" s="54" t="s">
        <v>370</v>
      </c>
      <c r="B55" s="217">
        <v>0</v>
      </c>
      <c r="C55" s="217">
        <v>0</v>
      </c>
      <c r="D55" s="44"/>
      <c r="E55" s="44"/>
      <c r="F55" s="44"/>
    </row>
    <row r="56" spans="1:6" s="1" customFormat="1" ht="20.399999999999999" hidden="1">
      <c r="A56" s="54" t="s">
        <v>54</v>
      </c>
      <c r="B56" s="217">
        <v>0</v>
      </c>
      <c r="C56" s="217">
        <v>0</v>
      </c>
      <c r="D56" s="44"/>
      <c r="E56" s="44"/>
      <c r="F56" s="44"/>
    </row>
    <row r="57" spans="1:6" ht="20.399999999999999" hidden="1">
      <c r="A57" s="54" t="s">
        <v>55</v>
      </c>
      <c r="B57" s="217">
        <v>0</v>
      </c>
      <c r="C57" s="217">
        <v>0</v>
      </c>
    </row>
    <row r="58" spans="1:6">
      <c r="A58" s="54"/>
      <c r="B58" s="217">
        <v>0</v>
      </c>
      <c r="C58" s="217">
        <v>0</v>
      </c>
    </row>
    <row r="59" spans="1:6" ht="20.399999999999999">
      <c r="A59" s="55" t="s">
        <v>399</v>
      </c>
      <c r="B59" s="123">
        <f>SUM(B60:B69)</f>
        <v>3057474</v>
      </c>
      <c r="C59" s="123">
        <f>SUM(C60:C69)</f>
        <v>1257364</v>
      </c>
    </row>
    <row r="60" spans="1:6">
      <c r="A60" s="54" t="s">
        <v>371</v>
      </c>
      <c r="B60" s="217">
        <v>3163598</v>
      </c>
      <c r="C60" s="217">
        <v>1191123</v>
      </c>
    </row>
    <row r="61" spans="1:6">
      <c r="A61" s="54" t="s">
        <v>753</v>
      </c>
      <c r="B61" s="217">
        <v>0</v>
      </c>
      <c r="C61" s="217">
        <v>-2460</v>
      </c>
    </row>
    <row r="62" spans="1:6">
      <c r="A62" s="54" t="s">
        <v>372</v>
      </c>
      <c r="B62" s="217">
        <v>-106124</v>
      </c>
      <c r="C62" s="217">
        <v>68701</v>
      </c>
    </row>
    <row r="63" spans="1:6" hidden="1">
      <c r="A63" s="54" t="s">
        <v>658</v>
      </c>
      <c r="B63" s="217">
        <v>0</v>
      </c>
      <c r="C63" s="217">
        <v>0</v>
      </c>
    </row>
    <row r="64" spans="1:6" hidden="1">
      <c r="A64" s="54" t="s">
        <v>701</v>
      </c>
      <c r="B64" s="217">
        <v>0</v>
      </c>
      <c r="C64" s="217">
        <v>0</v>
      </c>
    </row>
    <row r="65" spans="1:3" hidden="1">
      <c r="A65" s="54" t="s">
        <v>372</v>
      </c>
      <c r="B65" s="217">
        <v>0</v>
      </c>
      <c r="C65" s="217">
        <v>0</v>
      </c>
    </row>
    <row r="66" spans="1:3" hidden="1">
      <c r="A66" s="54" t="s">
        <v>373</v>
      </c>
      <c r="B66" s="217">
        <v>0</v>
      </c>
      <c r="C66" s="217">
        <v>0</v>
      </c>
    </row>
    <row r="67" spans="1:3" ht="20.399999999999999" hidden="1">
      <c r="A67" s="54" t="s">
        <v>343</v>
      </c>
      <c r="B67" s="217">
        <v>0</v>
      </c>
      <c r="C67" s="217">
        <v>0</v>
      </c>
    </row>
    <row r="68" spans="1:3" ht="20.399999999999999" hidden="1">
      <c r="A68" s="54" t="s">
        <v>400</v>
      </c>
      <c r="B68" s="217">
        <v>0</v>
      </c>
      <c r="C68" s="217">
        <v>0</v>
      </c>
    </row>
    <row r="69" spans="1:3">
      <c r="A69" s="54"/>
      <c r="B69" s="123"/>
      <c r="C69" s="123"/>
    </row>
    <row r="70" spans="1:3">
      <c r="A70" s="55" t="s">
        <v>374</v>
      </c>
      <c r="B70" s="123">
        <f>SUM(B71:B76)</f>
        <v>21161</v>
      </c>
      <c r="C70" s="123">
        <f>SUM(C71:C76)</f>
        <v>-918037</v>
      </c>
    </row>
    <row r="71" spans="1:3">
      <c r="A71" s="54" t="s">
        <v>961</v>
      </c>
      <c r="B71" s="217">
        <v>21161</v>
      </c>
      <c r="C71" s="217">
        <v>10988</v>
      </c>
    </row>
    <row r="72" spans="1:3">
      <c r="A72" s="54" t="s">
        <v>869</v>
      </c>
      <c r="B72" s="217">
        <v>0</v>
      </c>
      <c r="C72" s="217">
        <v>-961261</v>
      </c>
    </row>
    <row r="73" spans="1:3">
      <c r="A73" s="54" t="s">
        <v>754</v>
      </c>
      <c r="B73" s="217">
        <v>0</v>
      </c>
      <c r="C73" s="217">
        <v>32236</v>
      </c>
    </row>
    <row r="74" spans="1:3" hidden="1">
      <c r="A74" s="54" t="s">
        <v>576</v>
      </c>
      <c r="B74" s="217">
        <v>0</v>
      </c>
      <c r="C74" s="217">
        <v>0</v>
      </c>
    </row>
    <row r="75" spans="1:3" hidden="1">
      <c r="A75" s="54" t="s">
        <v>494</v>
      </c>
      <c r="B75" s="217">
        <v>0</v>
      </c>
      <c r="C75" s="217">
        <v>0</v>
      </c>
    </row>
    <row r="76" spans="1:3" hidden="1">
      <c r="A76" s="54"/>
      <c r="B76" s="123"/>
      <c r="C76" s="123"/>
    </row>
  </sheetData>
  <phoneticPr fontId="39" type="noConversion"/>
  <pageMargins left="0.7" right="0.7" top="0.75" bottom="0.75" header="0.3" footer="0.3"/>
  <pageSetup paperSize="9" scale="78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11" sqref="H11"/>
    </sheetView>
  </sheetViews>
  <sheetFormatPr defaultRowHeight="13.2"/>
  <cols>
    <col min="1" max="1" width="34.109375" customWidth="1"/>
    <col min="7" max="7" width="12.5546875" customWidth="1"/>
    <col min="8" max="8" width="37.6640625" customWidth="1"/>
  </cols>
  <sheetData>
    <row r="1" spans="1:8" ht="13.8" thickBot="1"/>
    <row r="2" spans="1:8" ht="13.8" thickBot="1">
      <c r="A2" s="610" t="s">
        <v>985</v>
      </c>
      <c r="B2" s="750" t="s">
        <v>986</v>
      </c>
      <c r="C2" s="751"/>
      <c r="D2" s="735" t="s">
        <v>987</v>
      </c>
      <c r="E2" s="736"/>
      <c r="F2" s="735" t="s">
        <v>988</v>
      </c>
      <c r="G2" s="736"/>
      <c r="H2" s="611" t="s">
        <v>989</v>
      </c>
    </row>
    <row r="3" spans="1:8" ht="81.599999999999994" customHeight="1" thickBot="1">
      <c r="A3" s="737" t="s">
        <v>990</v>
      </c>
      <c r="B3" s="740" t="s">
        <v>991</v>
      </c>
      <c r="C3" s="741"/>
      <c r="D3" s="746" t="s">
        <v>992</v>
      </c>
      <c r="E3" s="747"/>
      <c r="F3" s="748">
        <v>0.155</v>
      </c>
      <c r="G3" s="749"/>
      <c r="H3" s="670" t="s">
        <v>1091</v>
      </c>
    </row>
    <row r="4" spans="1:8" ht="19.8" customHeight="1" thickBot="1">
      <c r="A4" s="738"/>
      <c r="B4" s="742"/>
      <c r="C4" s="743"/>
      <c r="D4" s="746"/>
      <c r="E4" s="747"/>
      <c r="F4" s="746"/>
      <c r="G4" s="747"/>
      <c r="H4" s="609"/>
    </row>
    <row r="5" spans="1:8" ht="91.8" customHeight="1" thickBot="1">
      <c r="A5" s="739"/>
      <c r="B5" s="744"/>
      <c r="C5" s="745"/>
      <c r="D5" s="746" t="s">
        <v>993</v>
      </c>
      <c r="E5" s="747"/>
      <c r="F5" s="746" t="s">
        <v>994</v>
      </c>
      <c r="G5" s="747"/>
      <c r="H5" s="609" t="s">
        <v>1092</v>
      </c>
    </row>
    <row r="6" spans="1:8" ht="106.8" customHeight="1" thickBot="1">
      <c r="A6" s="737" t="s">
        <v>995</v>
      </c>
      <c r="B6" s="755" t="s">
        <v>991</v>
      </c>
      <c r="C6" s="756"/>
      <c r="D6" s="746" t="s">
        <v>992</v>
      </c>
      <c r="E6" s="752"/>
      <c r="F6" s="748">
        <v>0.155</v>
      </c>
      <c r="G6" s="752"/>
      <c r="H6" s="609" t="s">
        <v>1093</v>
      </c>
    </row>
    <row r="7" spans="1:8" ht="22.8" customHeight="1" thickBot="1">
      <c r="A7" s="753"/>
      <c r="B7" s="757"/>
      <c r="C7" s="758"/>
      <c r="D7" s="746"/>
      <c r="E7" s="752"/>
      <c r="F7" s="746"/>
      <c r="G7" s="752"/>
      <c r="H7" s="609"/>
    </row>
    <row r="8" spans="1:8" ht="103.2" customHeight="1" thickBot="1">
      <c r="A8" s="754"/>
      <c r="B8" s="759"/>
      <c r="C8" s="760"/>
      <c r="D8" s="746" t="s">
        <v>993</v>
      </c>
      <c r="E8" s="752"/>
      <c r="F8" s="746" t="s">
        <v>994</v>
      </c>
      <c r="G8" s="752"/>
      <c r="H8" s="669" t="s">
        <v>1094</v>
      </c>
    </row>
  </sheetData>
  <mergeCells count="19">
    <mergeCell ref="F6:G6"/>
    <mergeCell ref="F7:G7"/>
    <mergeCell ref="F8:G8"/>
    <mergeCell ref="F5:G5"/>
    <mergeCell ref="A6:A8"/>
    <mergeCell ref="B6:C8"/>
    <mergeCell ref="D6:E6"/>
    <mergeCell ref="D7:E7"/>
    <mergeCell ref="D8:E8"/>
    <mergeCell ref="F2:G2"/>
    <mergeCell ref="A3:A5"/>
    <mergeCell ref="B3:C5"/>
    <mergeCell ref="D3:E3"/>
    <mergeCell ref="F3:G3"/>
    <mergeCell ref="D4:E4"/>
    <mergeCell ref="F4:G4"/>
    <mergeCell ref="D5:E5"/>
    <mergeCell ref="B2:C2"/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17"/>
  <sheetViews>
    <sheetView view="pageBreakPreview" zoomScaleNormal="100" workbookViewId="0">
      <selection activeCell="B2" sqref="B2:E15"/>
    </sheetView>
  </sheetViews>
  <sheetFormatPr defaultColWidth="9.33203125" defaultRowHeight="10.199999999999999"/>
  <cols>
    <col min="1" max="1" width="3.5546875" style="173" customWidth="1"/>
    <col min="2" max="2" width="59" style="173" customWidth="1"/>
    <col min="3" max="3" width="0" style="173" hidden="1" customWidth="1"/>
    <col min="4" max="5" width="26" style="173" customWidth="1"/>
    <col min="6" max="16384" width="9.33203125" style="173"/>
  </cols>
  <sheetData>
    <row r="1" spans="2:7" s="171" customFormat="1" ht="25.5" customHeight="1">
      <c r="B1" s="172"/>
      <c r="C1" s="172"/>
      <c r="D1" s="172"/>
    </row>
    <row r="2" spans="2:7" s="177" customFormat="1">
      <c r="B2" s="184"/>
      <c r="C2" s="184" t="s">
        <v>275</v>
      </c>
      <c r="D2" s="184" t="str">
        <f>CONCATENATE("za okres ",'Dane podstawowe'!$B$7)</f>
        <v>za okres 01.01.2022-31.12.2022</v>
      </c>
      <c r="E2" s="184" t="s">
        <v>999</v>
      </c>
    </row>
    <row r="3" spans="2:7" s="336" customFormat="1">
      <c r="B3" s="188" t="s">
        <v>122</v>
      </c>
      <c r="C3" s="270"/>
      <c r="D3" s="275">
        <f>RZiS!D31</f>
        <v>279148</v>
      </c>
      <c r="E3" s="275">
        <f>RZiS!E31</f>
        <v>307590</v>
      </c>
    </row>
    <row r="4" spans="2:7" s="336" customFormat="1">
      <c r="B4" s="386" t="s">
        <v>693</v>
      </c>
      <c r="C4" s="270"/>
      <c r="D4" s="275"/>
      <c r="E4" s="275"/>
    </row>
    <row r="5" spans="2:7" s="17" customFormat="1" ht="20.399999999999999">
      <c r="B5" s="188" t="s">
        <v>686</v>
      </c>
      <c r="C5" s="275"/>
      <c r="D5" s="275">
        <f>SUM(D6:D9)</f>
        <v>0</v>
      </c>
      <c r="E5" s="275">
        <f>SUM(E6:E9)</f>
        <v>0</v>
      </c>
      <c r="F5" s="387"/>
      <c r="G5" s="387"/>
    </row>
    <row r="6" spans="2:7" s="17" customFormat="1" ht="13.8" hidden="1">
      <c r="B6" s="361" t="s">
        <v>687</v>
      </c>
      <c r="C6" s="275"/>
      <c r="D6" s="276">
        <v>0</v>
      </c>
      <c r="E6" s="276">
        <v>0</v>
      </c>
      <c r="F6" s="387"/>
      <c r="G6" s="387"/>
    </row>
    <row r="7" spans="2:7" s="18" customFormat="1" ht="13.2" hidden="1">
      <c r="B7" s="361" t="s">
        <v>688</v>
      </c>
      <c r="C7" s="388"/>
      <c r="D7" s="388">
        <v>0</v>
      </c>
      <c r="E7" s="388">
        <v>0</v>
      </c>
      <c r="F7" s="387"/>
      <c r="G7" s="387"/>
    </row>
    <row r="8" spans="2:7" s="18" customFormat="1" ht="13.2" hidden="1">
      <c r="B8" s="361" t="s">
        <v>689</v>
      </c>
      <c r="C8" s="275"/>
      <c r="D8" s="276">
        <v>0</v>
      </c>
      <c r="E8" s="276">
        <v>0</v>
      </c>
      <c r="F8" s="387"/>
      <c r="G8" s="387"/>
    </row>
    <row r="9" spans="2:7" s="18" customFormat="1" ht="20.399999999999999" hidden="1">
      <c r="B9" s="361" t="s">
        <v>690</v>
      </c>
      <c r="C9" s="275"/>
      <c r="D9" s="276">
        <v>0</v>
      </c>
      <c r="E9" s="276">
        <v>0</v>
      </c>
      <c r="F9" s="387"/>
      <c r="G9" s="387"/>
    </row>
    <row r="10" spans="2:7" s="17" customFormat="1" ht="20.399999999999999">
      <c r="B10" s="188" t="s">
        <v>691</v>
      </c>
      <c r="C10" s="275"/>
      <c r="D10" s="275">
        <f>D12+D11</f>
        <v>0</v>
      </c>
      <c r="E10" s="275">
        <f>E12+E11</f>
        <v>0</v>
      </c>
      <c r="F10" s="387"/>
      <c r="G10" s="387"/>
    </row>
    <row r="11" spans="2:7" s="17" customFormat="1" ht="13.8" hidden="1">
      <c r="B11" s="361" t="s">
        <v>692</v>
      </c>
      <c r="C11" s="275"/>
      <c r="D11" s="276">
        <v>0</v>
      </c>
      <c r="E11" s="276">
        <v>0</v>
      </c>
      <c r="F11" s="387"/>
      <c r="G11" s="387"/>
    </row>
    <row r="12" spans="2:7" s="18" customFormat="1" ht="13.2" hidden="1">
      <c r="B12" s="361" t="s">
        <v>688</v>
      </c>
      <c r="C12" s="276"/>
      <c r="D12" s="276">
        <v>0</v>
      </c>
      <c r="E12" s="276">
        <v>0</v>
      </c>
      <c r="F12" s="387"/>
      <c r="G12" s="387"/>
    </row>
    <row r="13" spans="2:7" s="338" customFormat="1">
      <c r="B13" s="334" t="s">
        <v>702</v>
      </c>
      <c r="C13" s="270"/>
      <c r="D13" s="389">
        <f>D3+D5+D10</f>
        <v>279148</v>
      </c>
      <c r="E13" s="389">
        <f>E3+E5+E10</f>
        <v>307590</v>
      </c>
    </row>
    <row r="14" spans="2:7">
      <c r="B14" s="48" t="s">
        <v>703</v>
      </c>
      <c r="C14" s="337"/>
      <c r="D14" s="390">
        <f>RZiS!D33</f>
        <v>83329</v>
      </c>
      <c r="E14" s="390">
        <f>RZiS!E33</f>
        <v>30610</v>
      </c>
    </row>
    <row r="15" spans="2:7" s="339" customFormat="1">
      <c r="B15" s="47" t="s">
        <v>704</v>
      </c>
      <c r="C15" s="40"/>
      <c r="D15" s="391">
        <f>D13-D14</f>
        <v>195819</v>
      </c>
      <c r="E15" s="391">
        <f>E13-E14</f>
        <v>276980</v>
      </c>
    </row>
    <row r="16" spans="2:7" ht="16.5" customHeight="1">
      <c r="B16" s="181"/>
      <c r="C16" s="181"/>
      <c r="D16" s="182"/>
      <c r="E16" s="182"/>
    </row>
    <row r="17" spans="2:5" ht="16.5" customHeight="1">
      <c r="B17" s="181"/>
      <c r="C17" s="181"/>
      <c r="D17" s="182"/>
      <c r="E17" s="182"/>
    </row>
  </sheetData>
  <phoneticPr fontId="42" type="noConversion"/>
  <pageMargins left="0.75" right="0.75" top="1" bottom="1" header="0.5" footer="0.5"/>
  <pageSetup paperSize="9" scale="95" orientation="landscape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  <pageSetUpPr fitToPage="1"/>
  </sheetPr>
  <dimension ref="B1:AI34"/>
  <sheetViews>
    <sheetView showGridLines="0" zoomScale="98" zoomScaleNormal="98" zoomScaleSheetLayoutView="75" workbookViewId="0">
      <selection activeCell="H17" sqref="H17"/>
    </sheetView>
  </sheetViews>
  <sheetFormatPr defaultColWidth="9.33203125" defaultRowHeight="13.2"/>
  <cols>
    <col min="1" max="1" width="3.44140625" style="14" customWidth="1"/>
    <col min="2" max="2" width="59" style="14" customWidth="1"/>
    <col min="3" max="3" width="9.33203125" style="14"/>
    <col min="4" max="4" width="16.6640625" style="14" bestFit="1" customWidth="1"/>
    <col min="5" max="5" width="15.6640625" style="14" bestFit="1" customWidth="1"/>
    <col min="6" max="7" width="9.33203125" style="14"/>
    <col min="8" max="8" width="17.5546875" style="14" customWidth="1"/>
    <col min="9" max="16384" width="9.33203125" style="14"/>
  </cols>
  <sheetData>
    <row r="1" spans="2:35" ht="17.399999999999999">
      <c r="B1" s="677"/>
      <c r="C1" s="677"/>
      <c r="D1" s="677"/>
      <c r="E1" s="677"/>
    </row>
    <row r="2" spans="2:35" s="15" customFormat="1">
      <c r="B2" s="184" t="s">
        <v>263</v>
      </c>
      <c r="C2" s="190" t="s">
        <v>299</v>
      </c>
      <c r="D2" s="415">
        <v>44926</v>
      </c>
      <c r="E2" s="415">
        <v>44561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16" customFormat="1" ht="13.8">
      <c r="B3" s="185" t="s">
        <v>464</v>
      </c>
      <c r="C3" s="186"/>
      <c r="D3" s="271">
        <f>SUM(D4:D14)</f>
        <v>21792287</v>
      </c>
      <c r="E3" s="271">
        <f>SUM(E4:E14)</f>
        <v>20779460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2:35" s="17" customFormat="1" ht="13.8">
      <c r="B4" s="176" t="s">
        <v>44</v>
      </c>
      <c r="C4" s="186" t="s">
        <v>934</v>
      </c>
      <c r="D4" s="274">
        <v>819628</v>
      </c>
      <c r="E4" s="274">
        <v>798638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2:35" s="18" customFormat="1">
      <c r="B5" s="361" t="s">
        <v>43</v>
      </c>
      <c r="C5" s="186" t="s">
        <v>938</v>
      </c>
      <c r="D5" s="272">
        <v>14616417</v>
      </c>
      <c r="E5" s="272">
        <v>14701335</v>
      </c>
    </row>
    <row r="6" spans="2:35" s="18" customFormat="1">
      <c r="B6" s="361" t="s">
        <v>671</v>
      </c>
      <c r="C6" s="186" t="s">
        <v>939</v>
      </c>
      <c r="D6" s="272">
        <v>1921975</v>
      </c>
      <c r="E6" s="272">
        <v>1603119</v>
      </c>
    </row>
    <row r="7" spans="2:35" s="18" customFormat="1">
      <c r="B7" s="176" t="s">
        <v>493</v>
      </c>
      <c r="C7" s="186" t="s">
        <v>942</v>
      </c>
      <c r="D7" s="272">
        <v>1821391</v>
      </c>
      <c r="E7" s="272">
        <v>1821391</v>
      </c>
    </row>
    <row r="8" spans="2:35" s="18" customFormat="1" hidden="1">
      <c r="B8" s="176" t="s">
        <v>115</v>
      </c>
      <c r="C8" s="186"/>
      <c r="D8" s="272"/>
      <c r="E8" s="272"/>
    </row>
    <row r="9" spans="2:35" s="18" customFormat="1">
      <c r="B9" s="309" t="s">
        <v>1026</v>
      </c>
      <c r="C9" s="186" t="s">
        <v>943</v>
      </c>
      <c r="D9" s="272">
        <v>603261</v>
      </c>
      <c r="E9" s="272">
        <v>0</v>
      </c>
    </row>
    <row r="10" spans="2:35" s="18" customFormat="1" hidden="1">
      <c r="B10" s="176" t="s">
        <v>276</v>
      </c>
      <c r="C10" s="186"/>
      <c r="D10" s="272">
        <v>0</v>
      </c>
      <c r="E10" s="272">
        <v>0</v>
      </c>
    </row>
    <row r="11" spans="2:35" s="17" customFormat="1" ht="13.8">
      <c r="B11" s="361" t="s">
        <v>595</v>
      </c>
      <c r="C11" s="186" t="s">
        <v>943</v>
      </c>
      <c r="D11" s="274">
        <v>3652</v>
      </c>
      <c r="E11" s="274">
        <f>212778+24733</f>
        <v>237511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</row>
    <row r="12" spans="2:35" s="17" customFormat="1" ht="13.8">
      <c r="B12" s="361" t="s">
        <v>473</v>
      </c>
      <c r="C12" s="186"/>
      <c r="D12" s="274">
        <f>88820+19</f>
        <v>88839</v>
      </c>
      <c r="E12" s="274">
        <f>88820+97</f>
        <v>88917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2:35" s="18" customFormat="1">
      <c r="B13" s="176" t="s">
        <v>301</v>
      </c>
      <c r="C13" s="186" t="s">
        <v>937</v>
      </c>
      <c r="D13" s="272">
        <v>1917124</v>
      </c>
      <c r="E13" s="272">
        <v>1528549</v>
      </c>
    </row>
    <row r="14" spans="2:35" s="18" customFormat="1" hidden="1">
      <c r="B14" s="361" t="s">
        <v>604</v>
      </c>
      <c r="C14" s="186"/>
      <c r="D14" s="272">
        <v>0</v>
      </c>
      <c r="E14" s="272">
        <v>0</v>
      </c>
      <c r="I14" s="587" t="s">
        <v>867</v>
      </c>
    </row>
    <row r="15" spans="2:35" s="18" customFormat="1">
      <c r="B15" s="185" t="s">
        <v>465</v>
      </c>
      <c r="C15" s="186"/>
      <c r="D15" s="271">
        <f>SUM(D16:D23)</f>
        <v>20857889</v>
      </c>
      <c r="E15" s="271">
        <f>SUM(E16:E23)</f>
        <v>16946624</v>
      </c>
    </row>
    <row r="16" spans="2:35" s="16" customFormat="1" ht="13.8" hidden="1">
      <c r="B16" s="176" t="s">
        <v>455</v>
      </c>
      <c r="C16" s="186"/>
      <c r="D16" s="274">
        <v>0</v>
      </c>
      <c r="E16" s="274">
        <v>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2:35" s="18" customFormat="1">
      <c r="B17" s="176" t="s">
        <v>302</v>
      </c>
      <c r="C17" s="186" t="s">
        <v>944</v>
      </c>
      <c r="D17" s="272">
        <v>14960022</v>
      </c>
      <c r="E17" s="272">
        <v>12092116</v>
      </c>
      <c r="H17" s="524"/>
    </row>
    <row r="18" spans="2:35" s="18" customFormat="1">
      <c r="B18" s="309" t="s">
        <v>382</v>
      </c>
      <c r="C18" s="186"/>
      <c r="D18" s="272">
        <v>586748</v>
      </c>
      <c r="E18" s="272">
        <v>0</v>
      </c>
    </row>
    <row r="19" spans="2:35" s="18" customFormat="1">
      <c r="B19" s="176" t="s">
        <v>110</v>
      </c>
      <c r="C19" s="186" t="s">
        <v>945</v>
      </c>
      <c r="D19" s="388">
        <f>1260696+356410-586748</f>
        <v>1030358</v>
      </c>
      <c r="E19" s="388">
        <f>629632+173780</f>
        <v>803412</v>
      </c>
    </row>
    <row r="20" spans="2:35" s="16" customFormat="1" ht="13.8">
      <c r="B20" s="361" t="s">
        <v>530</v>
      </c>
      <c r="C20" s="186" t="s">
        <v>943</v>
      </c>
      <c r="D20" s="274">
        <v>46759</v>
      </c>
      <c r="E20" s="274">
        <v>89034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2:35" s="18" customFormat="1" hidden="1">
      <c r="B21" s="176" t="s">
        <v>109</v>
      </c>
      <c r="C21" s="186"/>
      <c r="D21" s="272"/>
      <c r="E21" s="272"/>
    </row>
    <row r="22" spans="2:35" s="18" customFormat="1" hidden="1">
      <c r="B22" s="176" t="s">
        <v>300</v>
      </c>
      <c r="C22" s="186"/>
      <c r="D22" s="272"/>
      <c r="E22" s="272">
        <v>0</v>
      </c>
      <c r="I22" s="587" t="s">
        <v>868</v>
      </c>
    </row>
    <row r="23" spans="2:35" s="18" customFormat="1">
      <c r="B23" s="176" t="s">
        <v>303</v>
      </c>
      <c r="C23" s="186" t="s">
        <v>940</v>
      </c>
      <c r="D23" s="272">
        <v>4234002</v>
      </c>
      <c r="E23" s="272">
        <v>3962062</v>
      </c>
    </row>
    <row r="24" spans="2:35" s="269" customFormat="1" hidden="1">
      <c r="B24" s="52" t="s">
        <v>708</v>
      </c>
      <c r="C24" s="186"/>
      <c r="D24" s="276">
        <v>0</v>
      </c>
      <c r="E24" s="276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2:35" s="15" customFormat="1">
      <c r="B25" s="185" t="s">
        <v>304</v>
      </c>
      <c r="C25" s="186"/>
      <c r="D25" s="271">
        <f>SUM(D3,D15,D24)</f>
        <v>42650176</v>
      </c>
      <c r="E25" s="271">
        <f>SUM(E3,E15,E24)</f>
        <v>37726084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2:35" s="21" customFormat="1">
      <c r="B26" s="19"/>
      <c r="C26" s="23"/>
      <c r="D26" s="22"/>
      <c r="E26" s="20"/>
    </row>
    <row r="27" spans="2:35" s="21" customFormat="1">
      <c r="B27" s="19"/>
      <c r="C27" s="23"/>
      <c r="D27" s="24"/>
      <c r="E27" s="20"/>
    </row>
    <row r="28" spans="2:35" s="21" customFormat="1">
      <c r="B28" s="19"/>
      <c r="C28" s="23"/>
      <c r="D28" s="20"/>
      <c r="E28" s="20"/>
    </row>
    <row r="29" spans="2:35" s="21" customFormat="1">
      <c r="B29" s="19"/>
      <c r="C29" s="23"/>
      <c r="D29" s="20"/>
      <c r="E29" s="20"/>
    </row>
    <row r="30" spans="2:35" s="21" customFormat="1" ht="13.8">
      <c r="B30" s="26"/>
      <c r="C30" s="25"/>
      <c r="D30" s="20"/>
      <c r="E30" s="20"/>
    </row>
    <row r="31" spans="2:35" s="21" customFormat="1">
      <c r="B31" s="19"/>
      <c r="C31" s="23"/>
      <c r="D31" s="20"/>
      <c r="E31" s="20"/>
    </row>
    <row r="32" spans="2:35" s="21" customFormat="1" ht="13.8">
      <c r="B32" s="26"/>
      <c r="C32" s="25"/>
      <c r="D32" s="20"/>
      <c r="E32" s="20"/>
    </row>
    <row r="33" spans="2:5" s="21" customFormat="1">
      <c r="B33" s="19"/>
      <c r="C33" s="23"/>
      <c r="D33" s="20"/>
      <c r="E33" s="20"/>
    </row>
    <row r="34" spans="2:5" s="21" customFormat="1">
      <c r="B34" s="19"/>
      <c r="C34" s="23"/>
      <c r="D34" s="20"/>
      <c r="E34" s="20"/>
    </row>
  </sheetData>
  <mergeCells count="1">
    <mergeCell ref="B1:E1"/>
  </mergeCells>
  <phoneticPr fontId="12" type="noConversion"/>
  <pageMargins left="0.75" right="0.75" top="1" bottom="1" header="0.5" footer="0.5"/>
  <pageSetup paperSize="9" scale="96" orientation="landscape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  <pageSetUpPr fitToPage="1"/>
  </sheetPr>
  <dimension ref="B1:Q41"/>
  <sheetViews>
    <sheetView showGridLines="0" view="pageBreakPreview" zoomScaleNormal="75" zoomScaleSheetLayoutView="80" workbookViewId="0">
      <selection activeCell="G7" sqref="G7:L13"/>
    </sheetView>
  </sheetViews>
  <sheetFormatPr defaultColWidth="9.33203125" defaultRowHeight="13.2"/>
  <cols>
    <col min="1" max="1" width="2.6640625" style="14" customWidth="1"/>
    <col min="2" max="2" width="59" style="14" customWidth="1"/>
    <col min="3" max="3" width="8.6640625" style="358" customWidth="1"/>
    <col min="4" max="4" width="16.6640625" style="14" bestFit="1" customWidth="1"/>
    <col min="5" max="5" width="16.5546875" style="14" bestFit="1" customWidth="1"/>
    <col min="6" max="6" width="13.44140625" style="14" customWidth="1"/>
    <col min="7" max="7" width="14.109375" style="14" customWidth="1"/>
    <col min="8" max="8" width="12.21875" style="14" customWidth="1"/>
    <col min="9" max="9" width="10.109375" style="14" bestFit="1" customWidth="1"/>
    <col min="10" max="13" width="9.33203125" style="14"/>
    <col min="14" max="14" width="13.5546875" style="14" customWidth="1"/>
    <col min="15" max="15" width="17.109375" style="14" customWidth="1"/>
    <col min="16" max="16" width="11.88671875" style="14" customWidth="1"/>
    <col min="17" max="17" width="12.88671875" style="14" customWidth="1"/>
    <col min="18" max="16384" width="9.33203125" style="14"/>
  </cols>
  <sheetData>
    <row r="1" spans="2:17" ht="15">
      <c r="B1" s="170"/>
    </row>
    <row r="2" spans="2:17" s="15" customFormat="1">
      <c r="B2" s="184" t="s">
        <v>390</v>
      </c>
      <c r="C2" s="190" t="s">
        <v>299</v>
      </c>
      <c r="D2" s="415">
        <v>44926</v>
      </c>
      <c r="E2" s="415">
        <v>44561</v>
      </c>
    </row>
    <row r="3" spans="2:17" s="16" customFormat="1" ht="13.8">
      <c r="B3" s="185" t="s">
        <v>385</v>
      </c>
      <c r="C3" s="186" t="s">
        <v>160</v>
      </c>
      <c r="D3" s="271">
        <f>D4+D11</f>
        <v>21362588</v>
      </c>
      <c r="E3" s="271">
        <f>E4+E11</f>
        <v>22032314</v>
      </c>
    </row>
    <row r="4" spans="2:17" s="16" customFormat="1" ht="13.8">
      <c r="B4" s="431" t="s">
        <v>383</v>
      </c>
      <c r="C4" s="186" t="s">
        <v>160</v>
      </c>
      <c r="D4" s="275">
        <f>SUM(D5:D10)</f>
        <v>21178312</v>
      </c>
      <c r="E4" s="275">
        <f>SUM(E5:E10)</f>
        <v>21810670</v>
      </c>
    </row>
    <row r="5" spans="2:17" s="17" customFormat="1" ht="13.8">
      <c r="B5" s="176" t="s">
        <v>312</v>
      </c>
      <c r="C5" s="186" t="s">
        <v>941</v>
      </c>
      <c r="D5" s="276">
        <v>248578</v>
      </c>
      <c r="E5" s="276">
        <v>248578</v>
      </c>
      <c r="P5" s="547"/>
      <c r="Q5" s="547"/>
    </row>
    <row r="6" spans="2:17" s="18" customFormat="1" ht="13.8">
      <c r="B6" s="361" t="s">
        <v>908</v>
      </c>
      <c r="C6" s="186" t="s">
        <v>946</v>
      </c>
      <c r="D6" s="272">
        <v>4526727</v>
      </c>
      <c r="E6" s="272">
        <v>4526727</v>
      </c>
      <c r="Q6" s="547"/>
    </row>
    <row r="7" spans="2:17" s="18" customFormat="1" ht="13.8">
      <c r="B7" s="361" t="s">
        <v>901</v>
      </c>
      <c r="C7" s="186" t="s">
        <v>946</v>
      </c>
      <c r="D7" s="272">
        <f>10734047+21161-849338</f>
        <v>9905870</v>
      </c>
      <c r="E7" s="272">
        <v>10734047</v>
      </c>
      <c r="G7" s="589"/>
      <c r="H7" s="613"/>
      <c r="I7" s="588"/>
      <c r="K7" s="524"/>
      <c r="N7" s="17"/>
      <c r="P7" s="589"/>
      <c r="Q7" s="547"/>
    </row>
    <row r="8" spans="2:17" s="18" customFormat="1" ht="13.8" hidden="1">
      <c r="B8" s="432" t="s">
        <v>705</v>
      </c>
      <c r="C8" s="186"/>
      <c r="D8" s="272"/>
      <c r="E8" s="272"/>
      <c r="H8" s="614"/>
      <c r="K8" s="524"/>
      <c r="Q8" s="547"/>
    </row>
    <row r="9" spans="2:17" s="17" customFormat="1" ht="13.8">
      <c r="B9" s="361" t="s">
        <v>902</v>
      </c>
      <c r="C9" s="186"/>
      <c r="D9" s="272">
        <f>6301318+195819</f>
        <v>6497137</v>
      </c>
      <c r="E9" s="272">
        <v>6301318</v>
      </c>
      <c r="G9" s="547"/>
      <c r="H9" s="613"/>
      <c r="I9" s="588"/>
      <c r="P9" s="547"/>
      <c r="Q9" s="547"/>
    </row>
    <row r="10" spans="2:17" s="18" customFormat="1" ht="13.8" hidden="1">
      <c r="B10" s="176" t="s">
        <v>111</v>
      </c>
      <c r="C10" s="186"/>
      <c r="D10" s="272"/>
      <c r="E10" s="272"/>
      <c r="H10" s="269"/>
      <c r="I10" s="269"/>
      <c r="J10" s="269"/>
      <c r="K10" s="269"/>
      <c r="L10" s="269"/>
      <c r="Q10" s="547"/>
    </row>
    <row r="11" spans="2:17" s="18" customFormat="1" ht="15" customHeight="1">
      <c r="B11" s="431" t="s">
        <v>498</v>
      </c>
      <c r="C11" s="186" t="s">
        <v>947</v>
      </c>
      <c r="D11" s="584">
        <v>184276</v>
      </c>
      <c r="E11" s="584">
        <v>221644</v>
      </c>
      <c r="G11" s="589"/>
      <c r="H11" s="613"/>
      <c r="I11" s="588"/>
      <c r="J11" s="588"/>
      <c r="K11" s="588"/>
      <c r="L11" s="269"/>
      <c r="N11" s="269"/>
      <c r="O11" s="269"/>
      <c r="P11" s="589"/>
      <c r="Q11" s="589"/>
    </row>
    <row r="12" spans="2:17" s="18" customFormat="1">
      <c r="B12" s="185" t="s">
        <v>386</v>
      </c>
      <c r="C12" s="186"/>
      <c r="D12" s="271">
        <f>SUM(D13:D19)</f>
        <v>3044957</v>
      </c>
      <c r="E12" s="271">
        <f>SUM(E13:E19)</f>
        <v>2440903</v>
      </c>
      <c r="I12" s="587"/>
    </row>
    <row r="13" spans="2:17" s="16" customFormat="1" ht="13.8">
      <c r="B13" s="176" t="s">
        <v>45</v>
      </c>
      <c r="C13" s="186" t="s">
        <v>948</v>
      </c>
      <c r="D13" s="274">
        <v>0</v>
      </c>
      <c r="E13" s="274">
        <v>140444</v>
      </c>
    </row>
    <row r="14" spans="2:17" s="18" customFormat="1">
      <c r="B14" s="361" t="s">
        <v>130</v>
      </c>
      <c r="C14" s="186" t="s">
        <v>949</v>
      </c>
      <c r="D14" s="272">
        <v>988067</v>
      </c>
      <c r="E14" s="272">
        <v>903039</v>
      </c>
    </row>
    <row r="15" spans="2:17" s="18" customFormat="1">
      <c r="B15" s="361" t="s">
        <v>203</v>
      </c>
      <c r="C15" s="186"/>
      <c r="D15" s="388">
        <v>0</v>
      </c>
      <c r="E15" s="388">
        <v>0</v>
      </c>
    </row>
    <row r="16" spans="2:17" s="18" customFormat="1">
      <c r="B16" s="361" t="s">
        <v>131</v>
      </c>
      <c r="C16" s="186" t="s">
        <v>937</v>
      </c>
      <c r="D16" s="272">
        <v>1192570</v>
      </c>
      <c r="E16" s="272">
        <v>972497</v>
      </c>
      <c r="G16" s="524"/>
      <c r="I16" s="524"/>
    </row>
    <row r="17" spans="2:13" s="16" customFormat="1" ht="13.8">
      <c r="B17" s="361" t="s">
        <v>415</v>
      </c>
      <c r="C17" s="186" t="s">
        <v>952</v>
      </c>
      <c r="D17" s="272">
        <v>864320</v>
      </c>
      <c r="E17" s="272">
        <v>424923</v>
      </c>
    </row>
    <row r="18" spans="2:13" s="16" customFormat="1" ht="13.8" hidden="1">
      <c r="B18" s="361" t="s">
        <v>314</v>
      </c>
      <c r="C18" s="186"/>
      <c r="D18" s="274">
        <v>0</v>
      </c>
      <c r="E18" s="525">
        <v>0</v>
      </c>
    </row>
    <row r="19" spans="2:13" s="16" customFormat="1" ht="13.8" hidden="1">
      <c r="B19" s="361" t="s">
        <v>273</v>
      </c>
      <c r="C19" s="186"/>
      <c r="D19" s="274">
        <v>0</v>
      </c>
      <c r="E19" s="525">
        <v>0</v>
      </c>
    </row>
    <row r="20" spans="2:13" s="18" customFormat="1">
      <c r="B20" s="185" t="s">
        <v>291</v>
      </c>
      <c r="C20" s="186"/>
      <c r="D20" s="271">
        <f>SUM(D21:D28)</f>
        <v>18242631</v>
      </c>
      <c r="E20" s="271">
        <f>SUM(E21:E28)</f>
        <v>13252867</v>
      </c>
    </row>
    <row r="21" spans="2:13" s="18" customFormat="1">
      <c r="B21" s="176" t="s">
        <v>45</v>
      </c>
      <c r="C21" s="186" t="s">
        <v>948</v>
      </c>
      <c r="D21" s="274">
        <v>1259575</v>
      </c>
      <c r="E21" s="274">
        <v>406460</v>
      </c>
    </row>
    <row r="22" spans="2:13" s="18" customFormat="1">
      <c r="B22" s="361" t="s">
        <v>130</v>
      </c>
      <c r="C22" s="186" t="s">
        <v>949</v>
      </c>
      <c r="D22" s="274">
        <v>941852</v>
      </c>
      <c r="E22" s="274">
        <v>724171</v>
      </c>
    </row>
    <row r="23" spans="2:13" s="18" customFormat="1">
      <c r="B23" s="176" t="s">
        <v>315</v>
      </c>
      <c r="C23" s="186" t="s">
        <v>950</v>
      </c>
      <c r="D23" s="274">
        <v>9835868</v>
      </c>
      <c r="E23" s="274">
        <v>7374029</v>
      </c>
    </row>
    <row r="24" spans="2:13" s="18" customFormat="1">
      <c r="B24" s="432" t="s">
        <v>387</v>
      </c>
      <c r="C24" s="186"/>
      <c r="D24" s="274">
        <v>4169</v>
      </c>
      <c r="E24" s="274">
        <v>76430</v>
      </c>
    </row>
    <row r="25" spans="2:13" s="18" customFormat="1">
      <c r="B25" s="176" t="s">
        <v>450</v>
      </c>
      <c r="C25" s="186" t="s">
        <v>951</v>
      </c>
      <c r="D25" s="274">
        <f>2840674-4169</f>
        <v>2836505</v>
      </c>
      <c r="E25" s="274">
        <f>2211176-76430</f>
        <v>2134746</v>
      </c>
    </row>
    <row r="26" spans="2:13" s="18" customFormat="1">
      <c r="B26" s="361" t="s">
        <v>553</v>
      </c>
      <c r="C26" s="186" t="s">
        <v>952</v>
      </c>
      <c r="D26" s="276">
        <v>1478033</v>
      </c>
      <c r="E26" s="276">
        <v>1272364</v>
      </c>
    </row>
    <row r="27" spans="2:13" s="18" customFormat="1">
      <c r="B27" s="176" t="s">
        <v>314</v>
      </c>
      <c r="C27" s="186" t="s">
        <v>953</v>
      </c>
      <c r="D27" s="274">
        <v>1557006</v>
      </c>
      <c r="E27" s="274">
        <v>1102146</v>
      </c>
      <c r="G27" s="524"/>
      <c r="I27" s="524"/>
    </row>
    <row r="28" spans="2:13" s="18" customFormat="1">
      <c r="B28" s="176" t="s">
        <v>273</v>
      </c>
      <c r="C28" s="186" t="s">
        <v>954</v>
      </c>
      <c r="D28" s="274">
        <v>329623</v>
      </c>
      <c r="E28" s="274">
        <v>162521</v>
      </c>
      <c r="G28" s="524"/>
      <c r="I28" s="524"/>
    </row>
    <row r="29" spans="2:13" s="269" customFormat="1">
      <c r="B29" s="185" t="s">
        <v>316</v>
      </c>
      <c r="C29" s="186"/>
      <c r="D29" s="271">
        <f>SUM(D3,D12,D20)</f>
        <v>42650176</v>
      </c>
      <c r="E29" s="271">
        <f>SUM(E3,E12,E20)</f>
        <v>37726084</v>
      </c>
    </row>
    <row r="30" spans="2:13" s="15" customFormat="1">
      <c r="B30" s="19"/>
      <c r="C30" s="359"/>
      <c r="D30" s="22"/>
      <c r="E30" s="20"/>
      <c r="F30" s="583">
        <f>Aktywa!D25-Pasywa!D29</f>
        <v>0</v>
      </c>
      <c r="G30" s="583">
        <f>Aktywa!E25-Pasywa!E29</f>
        <v>0</v>
      </c>
      <c r="H30" s="585"/>
    </row>
    <row r="31" spans="2:13" hidden="1">
      <c r="B31" s="19"/>
      <c r="C31" s="359"/>
      <c r="D31" s="22"/>
      <c r="E31" s="20"/>
      <c r="H31" s="21"/>
      <c r="I31" s="21"/>
      <c r="J31" s="21"/>
      <c r="K31" s="21"/>
      <c r="L31" s="21"/>
      <c r="M31" s="586"/>
    </row>
    <row r="32" spans="2:13" s="21" customFormat="1">
      <c r="B32" s="19"/>
      <c r="C32" s="359"/>
      <c r="D32" s="24"/>
      <c r="E32" s="20"/>
    </row>
    <row r="33" spans="2:5" s="21" customFormat="1">
      <c r="B33" s="19"/>
      <c r="C33" s="359"/>
      <c r="D33" s="20"/>
      <c r="E33" s="20"/>
    </row>
    <row r="34" spans="2:5" s="21" customFormat="1">
      <c r="B34" s="19"/>
      <c r="C34" s="359"/>
      <c r="D34" s="20"/>
      <c r="E34" s="20"/>
    </row>
    <row r="35" spans="2:5" s="21" customFormat="1" ht="13.8">
      <c r="B35" s="26"/>
      <c r="C35" s="360"/>
      <c r="D35" s="20"/>
      <c r="E35" s="20"/>
    </row>
    <row r="36" spans="2:5" s="21" customFormat="1">
      <c r="B36" s="19"/>
      <c r="C36" s="359"/>
      <c r="D36" s="20"/>
      <c r="E36" s="20"/>
    </row>
    <row r="37" spans="2:5" s="21" customFormat="1" ht="13.8">
      <c r="B37" s="26"/>
      <c r="C37" s="360"/>
      <c r="D37" s="20"/>
      <c r="E37" s="20"/>
    </row>
    <row r="38" spans="2:5" s="21" customFormat="1">
      <c r="B38" s="19"/>
      <c r="C38" s="359"/>
      <c r="D38" s="20"/>
      <c r="E38" s="20"/>
    </row>
    <row r="39" spans="2:5" s="21" customFormat="1">
      <c r="B39" s="19"/>
      <c r="C39" s="359"/>
      <c r="D39" s="20"/>
      <c r="E39" s="20"/>
    </row>
    <row r="40" spans="2:5" s="21" customFormat="1">
      <c r="B40" s="14"/>
      <c r="C40" s="358"/>
      <c r="D40" s="14"/>
      <c r="E40" s="14"/>
    </row>
    <row r="41" spans="2:5" s="21" customFormat="1">
      <c r="B41" s="14"/>
      <c r="C41" s="358"/>
      <c r="D41" s="14"/>
      <c r="E41" s="14"/>
    </row>
  </sheetData>
  <phoneticPr fontId="37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  <pageSetUpPr fitToPage="1"/>
  </sheetPr>
  <dimension ref="B1:K43"/>
  <sheetViews>
    <sheetView showGridLines="0" view="pageBreakPreview" zoomScale="98" zoomScaleNormal="100" zoomScaleSheetLayoutView="98" workbookViewId="0">
      <selection activeCell="B44" sqref="B44"/>
    </sheetView>
  </sheetViews>
  <sheetFormatPr defaultColWidth="9.33203125" defaultRowHeight="15"/>
  <cols>
    <col min="1" max="1" width="4.5546875" style="27" customWidth="1"/>
    <col min="2" max="2" width="57.33203125" style="27" bestFit="1" customWidth="1"/>
    <col min="3" max="5" width="14.6640625" style="27" customWidth="1"/>
    <col min="6" max="6" width="14.6640625" style="27" hidden="1" customWidth="1"/>
    <col min="7" max="7" width="14.6640625" style="27" customWidth="1"/>
    <col min="8" max="8" width="14.6640625" style="27" hidden="1" customWidth="1"/>
    <col min="9" max="9" width="14.6640625" style="27" customWidth="1"/>
    <col min="10" max="10" width="16.33203125" style="27" customWidth="1"/>
    <col min="11" max="11" width="14.6640625" style="27" customWidth="1"/>
    <col min="12" max="16384" width="9.33203125" style="27"/>
  </cols>
  <sheetData>
    <row r="1" spans="2:11">
      <c r="B1" s="39"/>
    </row>
    <row r="2" spans="2:11" s="14" customFormat="1" ht="16.8">
      <c r="B2" s="193" t="s">
        <v>118</v>
      </c>
      <c r="C2" s="192"/>
      <c r="D2" s="192"/>
      <c r="E2" s="192"/>
      <c r="F2" s="30"/>
    </row>
    <row r="3" spans="2:11" s="14" customFormat="1" ht="63" customHeight="1">
      <c r="B3" s="70"/>
      <c r="C3" s="191" t="s">
        <v>312</v>
      </c>
      <c r="D3" s="190" t="s">
        <v>384</v>
      </c>
      <c r="E3" s="190" t="s">
        <v>901</v>
      </c>
      <c r="F3" s="190" t="s">
        <v>705</v>
      </c>
      <c r="G3" s="190" t="s">
        <v>902</v>
      </c>
      <c r="H3" s="190" t="s">
        <v>111</v>
      </c>
      <c r="I3" s="190" t="s">
        <v>388</v>
      </c>
      <c r="J3" s="190" t="s">
        <v>498</v>
      </c>
      <c r="K3" s="190" t="s">
        <v>389</v>
      </c>
    </row>
    <row r="4" spans="2:11">
      <c r="B4" s="678" t="s">
        <v>1000</v>
      </c>
      <c r="C4" s="679"/>
      <c r="D4" s="679"/>
      <c r="E4" s="679"/>
      <c r="F4" s="679"/>
      <c r="G4" s="679"/>
      <c r="H4" s="679"/>
      <c r="I4" s="679"/>
      <c r="J4" s="679"/>
      <c r="K4" s="679"/>
    </row>
    <row r="5" spans="2:11">
      <c r="B5" s="277" t="s">
        <v>1001</v>
      </c>
      <c r="C5" s="161">
        <f>C40</f>
        <v>248578</v>
      </c>
      <c r="D5" s="161">
        <f t="shared" ref="D5:H5" si="0">D40</f>
        <v>4526727</v>
      </c>
      <c r="E5" s="161">
        <f t="shared" si="0"/>
        <v>10734047</v>
      </c>
      <c r="F5" s="161">
        <f t="shared" si="0"/>
        <v>0</v>
      </c>
      <c r="G5" s="161">
        <f t="shared" si="0"/>
        <v>6301318</v>
      </c>
      <c r="H5" s="161">
        <f t="shared" si="0"/>
        <v>0</v>
      </c>
      <c r="I5" s="161">
        <f>SUM(C5:H5)</f>
        <v>21810670</v>
      </c>
      <c r="J5" s="161">
        <f>J40</f>
        <v>221644</v>
      </c>
      <c r="K5" s="161">
        <f>I5+J5</f>
        <v>22032314</v>
      </c>
    </row>
    <row r="6" spans="2:11" hidden="1">
      <c r="B6" s="102" t="s">
        <v>906</v>
      </c>
      <c r="C6" s="279">
        <v>0</v>
      </c>
      <c r="D6" s="279">
        <v>0</v>
      </c>
      <c r="E6" s="279">
        <v>0</v>
      </c>
      <c r="F6" s="279">
        <v>0</v>
      </c>
      <c r="G6" s="279">
        <v>0</v>
      </c>
      <c r="H6" s="279">
        <v>0</v>
      </c>
      <c r="I6" s="233">
        <f t="shared" ref="I6:I10" si="1">SUM(C6:H6)</f>
        <v>0</v>
      </c>
      <c r="J6" s="233">
        <v>0</v>
      </c>
      <c r="K6" s="233">
        <f t="shared" ref="K6:K22" si="2">I6+J6</f>
        <v>0</v>
      </c>
    </row>
    <row r="7" spans="2:11" hidden="1">
      <c r="B7" s="278" t="s">
        <v>392</v>
      </c>
      <c r="C7" s="279">
        <v>0</v>
      </c>
      <c r="D7" s="279">
        <v>0</v>
      </c>
      <c r="E7" s="279"/>
      <c r="F7" s="279">
        <v>0</v>
      </c>
      <c r="G7" s="279">
        <v>0</v>
      </c>
      <c r="H7" s="279">
        <v>0</v>
      </c>
      <c r="I7" s="233">
        <f t="shared" si="1"/>
        <v>0</v>
      </c>
      <c r="J7" s="233">
        <v>0</v>
      </c>
      <c r="K7" s="233">
        <f t="shared" si="2"/>
        <v>0</v>
      </c>
    </row>
    <row r="8" spans="2:11" hidden="1">
      <c r="B8" s="280" t="s">
        <v>393</v>
      </c>
      <c r="C8" s="161">
        <f t="shared" ref="C8:H8" si="3">SUM(C5:C7)</f>
        <v>248578</v>
      </c>
      <c r="D8" s="161">
        <f t="shared" si="3"/>
        <v>4526727</v>
      </c>
      <c r="E8" s="161">
        <f t="shared" si="3"/>
        <v>10734047</v>
      </c>
      <c r="F8" s="161">
        <f t="shared" si="3"/>
        <v>0</v>
      </c>
      <c r="G8" s="161">
        <f t="shared" si="3"/>
        <v>6301318</v>
      </c>
      <c r="H8" s="161">
        <f t="shared" si="3"/>
        <v>0</v>
      </c>
      <c r="I8" s="161">
        <f>SUM(C8:H8)</f>
        <v>21810670</v>
      </c>
      <c r="J8" s="161">
        <f>SUM(J5:J7)</f>
        <v>221644</v>
      </c>
      <c r="K8" s="161">
        <f t="shared" si="2"/>
        <v>22032314</v>
      </c>
    </row>
    <row r="9" spans="2:11" s="17" customFormat="1" ht="13.8" hidden="1">
      <c r="B9" s="278" t="s">
        <v>132</v>
      </c>
      <c r="C9" s="276">
        <v>0</v>
      </c>
      <c r="D9" s="276">
        <v>0</v>
      </c>
      <c r="E9" s="276">
        <v>0</v>
      </c>
      <c r="F9" s="276">
        <v>0</v>
      </c>
      <c r="G9" s="282">
        <v>0</v>
      </c>
      <c r="H9" s="282">
        <v>0</v>
      </c>
      <c r="I9" s="233">
        <f t="shared" si="1"/>
        <v>0</v>
      </c>
      <c r="J9" s="282">
        <v>0</v>
      </c>
      <c r="K9" s="233">
        <f t="shared" si="2"/>
        <v>0</v>
      </c>
    </row>
    <row r="10" spans="2:11">
      <c r="B10" s="392" t="s">
        <v>1089</v>
      </c>
      <c r="C10" s="283">
        <v>0</v>
      </c>
      <c r="D10" s="283">
        <v>0</v>
      </c>
      <c r="E10" s="283">
        <v>-849338</v>
      </c>
      <c r="F10" s="283">
        <v>0</v>
      </c>
      <c r="G10" s="279">
        <v>0</v>
      </c>
      <c r="H10" s="279">
        <v>0</v>
      </c>
      <c r="I10" s="233">
        <f t="shared" si="1"/>
        <v>-849338</v>
      </c>
      <c r="J10" s="233">
        <v>-120697</v>
      </c>
      <c r="K10" s="233">
        <f t="shared" si="2"/>
        <v>-970035</v>
      </c>
    </row>
    <row r="11" spans="2:11" s="17" customFormat="1" ht="13.8" hidden="1">
      <c r="B11" s="392" t="s">
        <v>822</v>
      </c>
      <c r="C11" s="276">
        <v>0</v>
      </c>
      <c r="D11" s="276">
        <v>0</v>
      </c>
      <c r="E11" s="276"/>
      <c r="F11" s="276">
        <v>0</v>
      </c>
      <c r="G11" s="282">
        <v>0</v>
      </c>
      <c r="H11" s="282">
        <v>0</v>
      </c>
      <c r="I11" s="233">
        <f>SUM(C11:H11)</f>
        <v>0</v>
      </c>
      <c r="J11" s="282">
        <v>0</v>
      </c>
      <c r="K11" s="233">
        <f>I11+J11</f>
        <v>0</v>
      </c>
    </row>
    <row r="12" spans="2:11" s="17" customFormat="1" ht="13.8" hidden="1">
      <c r="B12" s="392" t="s">
        <v>6</v>
      </c>
      <c r="C12" s="276">
        <v>0</v>
      </c>
      <c r="D12" s="276">
        <v>0</v>
      </c>
      <c r="E12" s="279">
        <v>0</v>
      </c>
      <c r="F12" s="276">
        <v>0</v>
      </c>
      <c r="G12" s="282"/>
      <c r="H12" s="282">
        <v>0</v>
      </c>
      <c r="I12" s="233">
        <f t="shared" ref="I12:I20" si="4">SUM(C12:H12)</f>
        <v>0</v>
      </c>
      <c r="J12" s="282">
        <v>0</v>
      </c>
      <c r="K12" s="233">
        <f t="shared" si="2"/>
        <v>0</v>
      </c>
    </row>
    <row r="13" spans="2:11" s="17" customFormat="1" ht="20.399999999999999" hidden="1">
      <c r="B13" s="102" t="s">
        <v>958</v>
      </c>
      <c r="C13" s="276">
        <v>0</v>
      </c>
      <c r="D13" s="276">
        <v>0</v>
      </c>
      <c r="E13" s="279">
        <v>0</v>
      </c>
      <c r="F13" s="276">
        <v>0</v>
      </c>
      <c r="G13" s="282"/>
      <c r="H13" s="282">
        <v>0</v>
      </c>
      <c r="I13" s="233">
        <f t="shared" si="4"/>
        <v>0</v>
      </c>
      <c r="J13" s="282">
        <v>0</v>
      </c>
      <c r="K13" s="233">
        <f t="shared" si="2"/>
        <v>0</v>
      </c>
    </row>
    <row r="14" spans="2:11" s="17" customFormat="1" ht="13.8">
      <c r="B14" s="392" t="s">
        <v>532</v>
      </c>
      <c r="C14" s="276">
        <v>0</v>
      </c>
      <c r="D14" s="276">
        <v>0</v>
      </c>
      <c r="E14" s="279">
        <v>21161</v>
      </c>
      <c r="F14" s="276"/>
      <c r="G14" s="282">
        <v>0</v>
      </c>
      <c r="H14" s="282">
        <v>0</v>
      </c>
      <c r="I14" s="233">
        <f t="shared" si="4"/>
        <v>21161</v>
      </c>
      <c r="J14" s="282">
        <v>0</v>
      </c>
      <c r="K14" s="233">
        <f t="shared" si="2"/>
        <v>21161</v>
      </c>
    </row>
    <row r="15" spans="2:11">
      <c r="B15" s="392" t="s">
        <v>1003</v>
      </c>
      <c r="C15" s="279">
        <v>0</v>
      </c>
      <c r="D15" s="279">
        <v>0</v>
      </c>
      <c r="E15" s="279">
        <v>0</v>
      </c>
      <c r="F15" s="279">
        <v>0</v>
      </c>
      <c r="G15" s="279">
        <v>195819</v>
      </c>
      <c r="H15" s="279">
        <v>0</v>
      </c>
      <c r="I15" s="233">
        <f t="shared" si="4"/>
        <v>195819</v>
      </c>
      <c r="J15" s="233">
        <v>83329</v>
      </c>
      <c r="K15" s="233">
        <f t="shared" si="2"/>
        <v>279148</v>
      </c>
    </row>
    <row r="16" spans="2:11" hidden="1">
      <c r="B16" s="392" t="s">
        <v>531</v>
      </c>
      <c r="C16" s="279">
        <v>0</v>
      </c>
      <c r="D16" s="279">
        <v>0</v>
      </c>
      <c r="E16" s="279">
        <v>0</v>
      </c>
      <c r="F16" s="279">
        <v>0</v>
      </c>
      <c r="G16" s="279">
        <v>0</v>
      </c>
      <c r="H16" s="279">
        <v>0</v>
      </c>
      <c r="I16" s="233">
        <f t="shared" si="4"/>
        <v>0</v>
      </c>
      <c r="J16" s="233">
        <v>0</v>
      </c>
      <c r="K16" s="233">
        <f t="shared" si="2"/>
        <v>0</v>
      </c>
    </row>
    <row r="17" spans="2:11" hidden="1">
      <c r="B17" s="392" t="s">
        <v>533</v>
      </c>
      <c r="C17" s="279">
        <v>0</v>
      </c>
      <c r="D17" s="279">
        <v>0</v>
      </c>
      <c r="E17" s="279">
        <v>0</v>
      </c>
      <c r="F17" s="279">
        <v>0</v>
      </c>
      <c r="G17" s="279">
        <v>0</v>
      </c>
      <c r="H17" s="279">
        <v>0</v>
      </c>
      <c r="I17" s="233">
        <f t="shared" si="4"/>
        <v>0</v>
      </c>
      <c r="J17" s="233">
        <v>0</v>
      </c>
      <c r="K17" s="233">
        <f t="shared" si="2"/>
        <v>0</v>
      </c>
    </row>
    <row r="18" spans="2:11" hidden="1">
      <c r="B18" s="392" t="s">
        <v>532</v>
      </c>
      <c r="C18" s="279">
        <v>0</v>
      </c>
      <c r="D18" s="279">
        <v>0</v>
      </c>
      <c r="E18" s="279">
        <v>0</v>
      </c>
      <c r="F18" s="279">
        <v>0</v>
      </c>
      <c r="G18" s="279">
        <v>0</v>
      </c>
      <c r="H18" s="279">
        <v>0</v>
      </c>
      <c r="I18" s="233">
        <f t="shared" si="4"/>
        <v>0</v>
      </c>
      <c r="J18" s="233">
        <v>0</v>
      </c>
      <c r="K18" s="233">
        <f t="shared" si="2"/>
        <v>0</v>
      </c>
    </row>
    <row r="19" spans="2:11" hidden="1">
      <c r="B19" s="392" t="s">
        <v>709</v>
      </c>
      <c r="C19" s="279">
        <v>0</v>
      </c>
      <c r="D19" s="279">
        <v>0</v>
      </c>
      <c r="E19" s="279">
        <v>0</v>
      </c>
      <c r="F19" s="279">
        <v>0</v>
      </c>
      <c r="G19" s="279">
        <v>0</v>
      </c>
      <c r="H19" s="279"/>
      <c r="I19" s="233">
        <f t="shared" si="4"/>
        <v>0</v>
      </c>
      <c r="J19" s="233">
        <v>0</v>
      </c>
      <c r="K19" s="233">
        <f t="shared" si="2"/>
        <v>0</v>
      </c>
    </row>
    <row r="20" spans="2:11" hidden="1">
      <c r="B20" s="392" t="s">
        <v>570</v>
      </c>
      <c r="C20" s="279">
        <v>0</v>
      </c>
      <c r="D20" s="279">
        <v>0</v>
      </c>
      <c r="E20" s="279">
        <v>0</v>
      </c>
      <c r="F20" s="279">
        <v>0</v>
      </c>
      <c r="G20" s="279">
        <v>0</v>
      </c>
      <c r="H20" s="279">
        <v>0</v>
      </c>
      <c r="I20" s="233">
        <f t="shared" si="4"/>
        <v>0</v>
      </c>
      <c r="J20" s="233"/>
      <c r="K20" s="233">
        <f t="shared" si="2"/>
        <v>0</v>
      </c>
    </row>
    <row r="21" spans="2:11" hidden="1">
      <c r="B21" s="392" t="s">
        <v>531</v>
      </c>
      <c r="C21" s="279">
        <v>0</v>
      </c>
      <c r="D21" s="279"/>
      <c r="E21" s="279">
        <v>0</v>
      </c>
      <c r="F21" s="279">
        <v>0</v>
      </c>
      <c r="G21" s="279">
        <v>0</v>
      </c>
      <c r="H21" s="279">
        <v>0</v>
      </c>
      <c r="I21" s="233">
        <f t="shared" ref="I21:I22" si="5">SUM(C21:H21)</f>
        <v>0</v>
      </c>
      <c r="J21" s="279">
        <v>0</v>
      </c>
      <c r="K21" s="233">
        <f t="shared" si="2"/>
        <v>0</v>
      </c>
    </row>
    <row r="22" spans="2:11" hidden="1">
      <c r="B22" s="392" t="s">
        <v>693</v>
      </c>
      <c r="C22" s="279">
        <v>0</v>
      </c>
      <c r="D22" s="279">
        <v>0</v>
      </c>
      <c r="E22" s="279">
        <v>0</v>
      </c>
      <c r="F22" s="279"/>
      <c r="G22" s="279">
        <v>0</v>
      </c>
      <c r="H22" s="279">
        <v>0</v>
      </c>
      <c r="I22" s="233">
        <f t="shared" si="5"/>
        <v>0</v>
      </c>
      <c r="J22" s="279">
        <v>0</v>
      </c>
      <c r="K22" s="233">
        <f t="shared" si="2"/>
        <v>0</v>
      </c>
    </row>
    <row r="23" spans="2:11">
      <c r="B23" s="277" t="s">
        <v>1002</v>
      </c>
      <c r="C23" s="161">
        <f>SUM(C8:C22)</f>
        <v>248578</v>
      </c>
      <c r="D23" s="161">
        <f t="shared" ref="D23:I23" si="6">SUM(D8:D22)</f>
        <v>4526727</v>
      </c>
      <c r="E23" s="161">
        <f t="shared" si="6"/>
        <v>9905870</v>
      </c>
      <c r="F23" s="161">
        <f t="shared" si="6"/>
        <v>0</v>
      </c>
      <c r="G23" s="161">
        <f t="shared" si="6"/>
        <v>6497137</v>
      </c>
      <c r="H23" s="161">
        <f t="shared" si="6"/>
        <v>0</v>
      </c>
      <c r="I23" s="161">
        <f t="shared" si="6"/>
        <v>21178312</v>
      </c>
      <c r="J23" s="161">
        <f>SUM(J8:J22)</f>
        <v>184276</v>
      </c>
      <c r="K23" s="161">
        <f>SUM(K8:K22)</f>
        <v>21362588</v>
      </c>
    </row>
    <row r="24" spans="2:11">
      <c r="B24" s="678" t="s">
        <v>847</v>
      </c>
      <c r="C24" s="679"/>
      <c r="D24" s="679"/>
      <c r="E24" s="679"/>
      <c r="F24" s="679"/>
      <c r="G24" s="679"/>
      <c r="H24" s="679"/>
      <c r="I24" s="679"/>
      <c r="J24" s="679"/>
      <c r="K24" s="679"/>
    </row>
    <row r="25" spans="2:11">
      <c r="B25" s="277" t="s">
        <v>845</v>
      </c>
      <c r="C25" s="161">
        <v>248578</v>
      </c>
      <c r="D25" s="161">
        <v>4526727</v>
      </c>
      <c r="E25" s="161">
        <v>10723059</v>
      </c>
      <c r="F25" s="161"/>
      <c r="G25" s="161">
        <v>5714799</v>
      </c>
      <c r="H25" s="161">
        <v>0</v>
      </c>
      <c r="I25" s="161">
        <f>SUM(C25:H25)</f>
        <v>21213163</v>
      </c>
      <c r="J25" s="161">
        <v>132400</v>
      </c>
      <c r="K25" s="161">
        <f>I25+J25</f>
        <v>21345563</v>
      </c>
    </row>
    <row r="26" spans="2:11" hidden="1">
      <c r="B26" s="102" t="s">
        <v>906</v>
      </c>
      <c r="C26" s="279">
        <v>0</v>
      </c>
      <c r="D26" s="279">
        <v>0</v>
      </c>
      <c r="E26" s="279">
        <v>0</v>
      </c>
      <c r="F26" s="279"/>
      <c r="G26" s="279">
        <v>0</v>
      </c>
      <c r="H26" s="279">
        <v>0</v>
      </c>
      <c r="I26" s="233">
        <f>SUM(C26:H26)</f>
        <v>0</v>
      </c>
      <c r="J26" s="233">
        <v>0</v>
      </c>
      <c r="K26" s="233">
        <f t="shared" ref="K26:K27" si="7">I26+J26</f>
        <v>0</v>
      </c>
    </row>
    <row r="27" spans="2:11" hidden="1">
      <c r="B27" s="278" t="s">
        <v>392</v>
      </c>
      <c r="C27" s="279">
        <v>0</v>
      </c>
      <c r="D27" s="279">
        <v>0</v>
      </c>
      <c r="E27" s="279">
        <v>0</v>
      </c>
      <c r="F27" s="279">
        <v>0</v>
      </c>
      <c r="G27" s="279"/>
      <c r="H27" s="279">
        <v>0</v>
      </c>
      <c r="I27" s="233">
        <f>SUM(C27:H27)</f>
        <v>0</v>
      </c>
      <c r="J27" s="233">
        <v>0</v>
      </c>
      <c r="K27" s="233">
        <f t="shared" si="7"/>
        <v>0</v>
      </c>
    </row>
    <row r="28" spans="2:11" hidden="1">
      <c r="B28" s="280" t="s">
        <v>393</v>
      </c>
      <c r="C28" s="161">
        <f>SUM(C25:C27)</f>
        <v>248578</v>
      </c>
      <c r="D28" s="161">
        <f t="shared" ref="D28:J28" si="8">SUM(D25:D27)</f>
        <v>4526727</v>
      </c>
      <c r="E28" s="161">
        <f t="shared" si="8"/>
        <v>10723059</v>
      </c>
      <c r="F28" s="161">
        <f t="shared" si="8"/>
        <v>0</v>
      </c>
      <c r="G28" s="161">
        <f t="shared" si="8"/>
        <v>5714799</v>
      </c>
      <c r="H28" s="161">
        <f t="shared" si="8"/>
        <v>0</v>
      </c>
      <c r="I28" s="161">
        <f t="shared" si="8"/>
        <v>21213163</v>
      </c>
      <c r="J28" s="161">
        <f t="shared" si="8"/>
        <v>132400</v>
      </c>
      <c r="K28" s="161">
        <f>I28+J28</f>
        <v>21345563</v>
      </c>
    </row>
    <row r="29" spans="2:11" hidden="1">
      <c r="B29" s="278" t="s">
        <v>132</v>
      </c>
      <c r="C29" s="276">
        <v>0</v>
      </c>
      <c r="D29" s="276">
        <v>0</v>
      </c>
      <c r="E29" s="233">
        <v>0</v>
      </c>
      <c r="F29" s="276">
        <v>0</v>
      </c>
      <c r="G29" s="282">
        <v>0</v>
      </c>
      <c r="H29" s="282">
        <v>0</v>
      </c>
      <c r="I29" s="233">
        <f t="shared" ref="I29:I39" si="9">SUM(C29:H29)</f>
        <v>0</v>
      </c>
      <c r="J29" s="282">
        <v>0</v>
      </c>
      <c r="K29" s="233">
        <f>I29+J29</f>
        <v>0</v>
      </c>
    </row>
    <row r="30" spans="2:11">
      <c r="B30" s="392" t="s">
        <v>1090</v>
      </c>
      <c r="C30" s="276">
        <v>0</v>
      </c>
      <c r="D30" s="276">
        <v>0</v>
      </c>
      <c r="E30" s="276">
        <v>0</v>
      </c>
      <c r="F30" s="276">
        <v>0</v>
      </c>
      <c r="G30" s="282">
        <v>32236</v>
      </c>
      <c r="H30" s="282">
        <v>0</v>
      </c>
      <c r="I30" s="233">
        <f t="shared" si="9"/>
        <v>32236</v>
      </c>
      <c r="J30" s="233">
        <v>58634</v>
      </c>
      <c r="K30" s="233">
        <f t="shared" ref="K30:K39" si="10">I30+J30</f>
        <v>90870</v>
      </c>
    </row>
    <row r="31" spans="2:11" ht="20.399999999999999">
      <c r="B31" s="102" t="s">
        <v>958</v>
      </c>
      <c r="C31" s="276">
        <v>0</v>
      </c>
      <c r="D31" s="276">
        <v>0</v>
      </c>
      <c r="E31" s="276">
        <v>0</v>
      </c>
      <c r="F31" s="276">
        <v>0</v>
      </c>
      <c r="G31" s="279">
        <v>277303</v>
      </c>
      <c r="H31" s="282">
        <v>0</v>
      </c>
      <c r="I31" s="233">
        <f t="shared" si="9"/>
        <v>277303</v>
      </c>
      <c r="J31" s="282">
        <v>0</v>
      </c>
      <c r="K31" s="233">
        <f t="shared" si="10"/>
        <v>277303</v>
      </c>
    </row>
    <row r="32" spans="2:11">
      <c r="B32" s="392" t="s">
        <v>532</v>
      </c>
      <c r="C32" s="276">
        <v>0</v>
      </c>
      <c r="D32" s="276">
        <v>0</v>
      </c>
      <c r="E32" s="276">
        <v>10988</v>
      </c>
      <c r="F32" s="276">
        <v>0</v>
      </c>
      <c r="G32" s="282">
        <v>0</v>
      </c>
      <c r="H32" s="282">
        <v>0</v>
      </c>
      <c r="I32" s="233">
        <f t="shared" si="9"/>
        <v>10988</v>
      </c>
      <c r="J32" s="282">
        <v>0</v>
      </c>
      <c r="K32" s="233">
        <f t="shared" si="10"/>
        <v>10988</v>
      </c>
    </row>
    <row r="33" spans="2:11">
      <c r="B33" s="392" t="s">
        <v>844</v>
      </c>
      <c r="C33" s="276">
        <v>0</v>
      </c>
      <c r="D33" s="276">
        <v>0</v>
      </c>
      <c r="E33" s="276">
        <v>0</v>
      </c>
      <c r="F33" s="276">
        <v>0</v>
      </c>
      <c r="G33" s="282">
        <v>276980</v>
      </c>
      <c r="H33" s="279"/>
      <c r="I33" s="233">
        <f t="shared" si="9"/>
        <v>276980</v>
      </c>
      <c r="J33" s="233">
        <v>30610</v>
      </c>
      <c r="K33" s="233">
        <f t="shared" si="10"/>
        <v>307590</v>
      </c>
    </row>
    <row r="34" spans="2:11" hidden="1">
      <c r="B34" s="392" t="s">
        <v>531</v>
      </c>
      <c r="C34" s="276">
        <v>0</v>
      </c>
      <c r="D34" s="276">
        <v>0</v>
      </c>
      <c r="E34" s="276"/>
      <c r="F34" s="276">
        <v>0</v>
      </c>
      <c r="G34" s="282">
        <v>0</v>
      </c>
      <c r="H34" s="282">
        <v>0</v>
      </c>
      <c r="I34" s="233">
        <f t="shared" si="9"/>
        <v>0</v>
      </c>
      <c r="J34" s="282"/>
      <c r="K34" s="233">
        <f t="shared" si="10"/>
        <v>0</v>
      </c>
    </row>
    <row r="35" spans="2:11" s="17" customFormat="1" ht="13.8" hidden="1">
      <c r="B35" s="392" t="s">
        <v>628</v>
      </c>
      <c r="C35" s="454">
        <v>0</v>
      </c>
      <c r="D35" s="454"/>
      <c r="E35" s="283">
        <v>0</v>
      </c>
      <c r="F35" s="454">
        <v>0</v>
      </c>
      <c r="G35" s="279">
        <v>0</v>
      </c>
      <c r="H35" s="279">
        <v>0</v>
      </c>
      <c r="I35" s="233">
        <f t="shared" si="9"/>
        <v>0</v>
      </c>
      <c r="J35" s="233"/>
      <c r="K35" s="233">
        <f t="shared" si="10"/>
        <v>0</v>
      </c>
    </row>
    <row r="36" spans="2:11" s="17" customFormat="1" ht="13.8" hidden="1">
      <c r="B36" s="392" t="s">
        <v>574</v>
      </c>
      <c r="C36" s="454">
        <v>0</v>
      </c>
      <c r="D36" s="454">
        <v>0</v>
      </c>
      <c r="E36" s="283">
        <v>0</v>
      </c>
      <c r="F36" s="454">
        <v>0</v>
      </c>
      <c r="G36" s="233">
        <v>0</v>
      </c>
      <c r="H36" s="279">
        <v>0</v>
      </c>
      <c r="I36" s="233">
        <f t="shared" si="9"/>
        <v>0</v>
      </c>
      <c r="J36" s="233">
        <v>0</v>
      </c>
      <c r="K36" s="233">
        <f t="shared" si="10"/>
        <v>0</v>
      </c>
    </row>
    <row r="37" spans="2:11" s="17" customFormat="1" ht="13.8" hidden="1">
      <c r="B37" s="392" t="s">
        <v>660</v>
      </c>
      <c r="C37" s="233">
        <v>0</v>
      </c>
      <c r="D37" s="233">
        <v>0</v>
      </c>
      <c r="E37" s="279">
        <v>0</v>
      </c>
      <c r="F37" s="279">
        <v>0</v>
      </c>
      <c r="G37" s="279">
        <v>0</v>
      </c>
      <c r="H37" s="279"/>
      <c r="I37" s="233">
        <f t="shared" si="9"/>
        <v>0</v>
      </c>
      <c r="J37" s="233">
        <v>0</v>
      </c>
      <c r="K37" s="233">
        <f t="shared" si="10"/>
        <v>0</v>
      </c>
    </row>
    <row r="38" spans="2:11" s="17" customFormat="1" ht="13.8" hidden="1">
      <c r="B38" s="392" t="s">
        <v>570</v>
      </c>
      <c r="C38" s="233">
        <v>0</v>
      </c>
      <c r="D38" s="233">
        <v>0</v>
      </c>
      <c r="E38" s="279">
        <v>0</v>
      </c>
      <c r="F38" s="279">
        <v>0</v>
      </c>
      <c r="G38" s="279">
        <v>0</v>
      </c>
      <c r="H38" s="279">
        <v>0</v>
      </c>
      <c r="I38" s="233">
        <f t="shared" si="9"/>
        <v>0</v>
      </c>
      <c r="J38" s="233"/>
      <c r="K38" s="233">
        <f t="shared" si="10"/>
        <v>0</v>
      </c>
    </row>
    <row r="39" spans="2:11" s="17" customFormat="1" ht="13.8" hidden="1">
      <c r="B39" s="392" t="s">
        <v>599</v>
      </c>
      <c r="C39" s="233">
        <v>0</v>
      </c>
      <c r="D39" s="233">
        <v>0</v>
      </c>
      <c r="E39" s="279">
        <v>0</v>
      </c>
      <c r="F39" s="279">
        <v>0</v>
      </c>
      <c r="G39" s="279">
        <v>0</v>
      </c>
      <c r="H39" s="279">
        <v>0</v>
      </c>
      <c r="I39" s="233">
        <f t="shared" si="9"/>
        <v>0</v>
      </c>
      <c r="J39" s="233">
        <v>0</v>
      </c>
      <c r="K39" s="233">
        <f t="shared" si="10"/>
        <v>0</v>
      </c>
    </row>
    <row r="40" spans="2:11">
      <c r="B40" s="277" t="s">
        <v>846</v>
      </c>
      <c r="C40" s="161">
        <f>SUM(C28:C39)</f>
        <v>248578</v>
      </c>
      <c r="D40" s="161">
        <f>SUM(D28:D39)</f>
        <v>4526727</v>
      </c>
      <c r="E40" s="161">
        <f>SUM(E28:E39)</f>
        <v>10734047</v>
      </c>
      <c r="F40" s="161">
        <f t="shared" ref="F40:H40" si="11">SUM(F28:F39)</f>
        <v>0</v>
      </c>
      <c r="G40" s="161">
        <f t="shared" si="11"/>
        <v>6301318</v>
      </c>
      <c r="H40" s="161">
        <f t="shared" si="11"/>
        <v>0</v>
      </c>
      <c r="I40" s="161">
        <f>SUM(I28:I39)</f>
        <v>21810670</v>
      </c>
      <c r="J40" s="161">
        <f>SUM(J28:J39)</f>
        <v>221644</v>
      </c>
      <c r="K40" s="161">
        <f>I40+J40</f>
        <v>22032314</v>
      </c>
    </row>
    <row r="42" spans="2:11">
      <c r="B42" s="44" t="s">
        <v>1065</v>
      </c>
    </row>
    <row r="43" spans="2:11">
      <c r="E43" s="544"/>
    </row>
  </sheetData>
  <mergeCells count="2">
    <mergeCell ref="B4:K4"/>
    <mergeCell ref="B24:K24"/>
  </mergeCells>
  <phoneticPr fontId="37" type="noConversion"/>
  <pageMargins left="0.7" right="0.7" top="0.75" bottom="0.75" header="0.3" footer="0.3"/>
  <pageSetup paperSize="9" scale="82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  <pageSetUpPr fitToPage="1"/>
  </sheetPr>
  <dimension ref="A1:G72"/>
  <sheetViews>
    <sheetView showGridLines="0" view="pageBreakPreview" topLeftCell="A7" zoomScaleNormal="75" zoomScaleSheetLayoutView="80" workbookViewId="0">
      <selection activeCell="B3" sqref="B3:D59"/>
    </sheetView>
  </sheetViews>
  <sheetFormatPr defaultColWidth="9.33203125" defaultRowHeight="13.2"/>
  <cols>
    <col min="1" max="1" width="3.44140625" style="14" customWidth="1"/>
    <col min="2" max="2" width="71.33203125" style="14" bestFit="1" customWidth="1"/>
    <col min="3" max="4" width="17.33203125" style="313" bestFit="1" customWidth="1"/>
    <col min="5" max="16384" width="9.33203125" style="14"/>
  </cols>
  <sheetData>
    <row r="1" spans="1:4">
      <c r="B1" s="39"/>
    </row>
    <row r="2" spans="1:4" ht="16.8">
      <c r="B2" s="194" t="s">
        <v>116</v>
      </c>
      <c r="C2" s="314"/>
      <c r="D2" s="314"/>
    </row>
    <row r="3" spans="1:4" s="15" customFormat="1" ht="20.399999999999999">
      <c r="A3" s="18"/>
      <c r="B3" s="184"/>
      <c r="C3" s="315" t="str">
        <f>CONCATENATE("za okres ",'Dane podstawowe'!$B$7)</f>
        <v>za okres 01.01.2022-31.12.2022</v>
      </c>
      <c r="D3" s="315" t="str">
        <f>CONCATENATE("za okres ",'Dane podstawowe'!$B$12)</f>
        <v>za okres 01.01.2021-31.12.2021</v>
      </c>
    </row>
    <row r="4" spans="1:4" s="18" customFormat="1">
      <c r="B4" s="680" t="s">
        <v>323</v>
      </c>
      <c r="C4" s="680"/>
      <c r="D4" s="680"/>
    </row>
    <row r="5" spans="1:4" s="17" customFormat="1" ht="13.8">
      <c r="B5" s="284" t="s">
        <v>909</v>
      </c>
      <c r="C5" s="271">
        <f>RZiS!D31</f>
        <v>279148</v>
      </c>
      <c r="D5" s="271">
        <f>RZiS!E31</f>
        <v>307590</v>
      </c>
    </row>
    <row r="6" spans="1:4" s="18" customFormat="1">
      <c r="B6" s="284" t="s">
        <v>324</v>
      </c>
      <c r="C6" s="273">
        <f>SUM(C7:C20)</f>
        <v>2649119</v>
      </c>
      <c r="D6" s="273">
        <f>SUM(D7:D20)</f>
        <v>2915110</v>
      </c>
    </row>
    <row r="7" spans="1:4" s="18" customFormat="1">
      <c r="B7" s="395" t="s">
        <v>910</v>
      </c>
      <c r="C7" s="388">
        <f>RZiS!D27</f>
        <v>100302</v>
      </c>
      <c r="D7" s="388">
        <f>RZiS!E27</f>
        <v>-48048</v>
      </c>
    </row>
    <row r="8" spans="1:4" s="18" customFormat="1">
      <c r="B8" s="395" t="s">
        <v>28</v>
      </c>
      <c r="C8" s="388">
        <v>2931388</v>
      </c>
      <c r="D8" s="388">
        <v>3474656</v>
      </c>
    </row>
    <row r="9" spans="1:4" s="18" customFormat="1" hidden="1">
      <c r="B9" s="395" t="s">
        <v>325</v>
      </c>
      <c r="C9" s="388"/>
      <c r="D9" s="388"/>
    </row>
    <row r="10" spans="1:4" s="17" customFormat="1" ht="13.8">
      <c r="B10" s="395" t="s">
        <v>911</v>
      </c>
      <c r="C10" s="276">
        <v>-9999</v>
      </c>
      <c r="D10" s="276">
        <v>-23843</v>
      </c>
    </row>
    <row r="11" spans="1:4" s="17" customFormat="1" ht="13.8">
      <c r="B11" s="395" t="s">
        <v>912</v>
      </c>
      <c r="C11" s="276">
        <v>102842</v>
      </c>
      <c r="D11" s="276">
        <v>13670</v>
      </c>
    </row>
    <row r="12" spans="1:4" s="18" customFormat="1">
      <c r="B12" s="395" t="s">
        <v>326</v>
      </c>
      <c r="C12" s="388">
        <v>-798490</v>
      </c>
      <c r="D12" s="388">
        <v>225796</v>
      </c>
    </row>
    <row r="13" spans="1:4" s="18" customFormat="1">
      <c r="B13" s="395" t="s">
        <v>747</v>
      </c>
      <c r="C13" s="388">
        <v>0</v>
      </c>
      <c r="D13" s="388">
        <v>24800</v>
      </c>
    </row>
    <row r="14" spans="1:4" s="18" customFormat="1">
      <c r="B14" s="395" t="s">
        <v>327</v>
      </c>
      <c r="C14" s="388">
        <v>621962</v>
      </c>
      <c r="D14" s="388">
        <v>244135</v>
      </c>
    </row>
    <row r="15" spans="1:4" s="18" customFormat="1">
      <c r="B15" s="395" t="s">
        <v>638</v>
      </c>
      <c r="C15" s="276">
        <v>0</v>
      </c>
      <c r="D15" s="276">
        <v>0</v>
      </c>
    </row>
    <row r="16" spans="1:4" s="18" customFormat="1">
      <c r="B16" s="395" t="s">
        <v>639</v>
      </c>
      <c r="C16" s="388">
        <f>-2912222+462514</f>
        <v>-2449708</v>
      </c>
      <c r="D16" s="388">
        <f>-1394487+179371</f>
        <v>-1215116</v>
      </c>
    </row>
    <row r="17" spans="2:4" s="16" customFormat="1" ht="20.399999999999999">
      <c r="B17" s="395" t="s">
        <v>640</v>
      </c>
      <c r="C17" s="276">
        <v>3057474</v>
      </c>
      <c r="D17" s="276">
        <v>1257364</v>
      </c>
    </row>
    <row r="18" spans="2:4" s="18" customFormat="1" hidden="1">
      <c r="B18" s="395" t="s">
        <v>641</v>
      </c>
      <c r="C18" s="388"/>
      <c r="D18" s="388"/>
    </row>
    <row r="19" spans="2:4" s="18" customFormat="1">
      <c r="B19" s="395" t="s">
        <v>642</v>
      </c>
      <c r="C19" s="276">
        <v>21161</v>
      </c>
      <c r="D19" s="388">
        <v>-918037</v>
      </c>
    </row>
    <row r="20" spans="2:4" s="18" customFormat="1">
      <c r="B20" s="395" t="s">
        <v>643</v>
      </c>
      <c r="C20" s="388">
        <v>-927813</v>
      </c>
      <c r="D20" s="388">
        <v>-120267</v>
      </c>
    </row>
    <row r="21" spans="2:4" s="18" customFormat="1" hidden="1">
      <c r="B21" s="284" t="s">
        <v>328</v>
      </c>
      <c r="C21" s="271"/>
      <c r="D21" s="271"/>
    </row>
    <row r="22" spans="2:4" s="18" customFormat="1" hidden="1">
      <c r="B22" s="395" t="s">
        <v>329</v>
      </c>
      <c r="C22" s="276"/>
      <c r="D22" s="276"/>
    </row>
    <row r="23" spans="2:4" s="18" customFormat="1" hidden="1">
      <c r="B23" s="395" t="s">
        <v>534</v>
      </c>
      <c r="C23" s="276">
        <v>0</v>
      </c>
      <c r="D23" s="276">
        <v>0</v>
      </c>
    </row>
    <row r="24" spans="2:4" s="18" customFormat="1">
      <c r="B24" s="286" t="s">
        <v>264</v>
      </c>
      <c r="C24" s="271">
        <f>SUM(C5:C6)</f>
        <v>2928267</v>
      </c>
      <c r="D24" s="271">
        <f>SUM(D5:D6)</f>
        <v>3222700</v>
      </c>
    </row>
    <row r="25" spans="2:4" s="18" customFormat="1">
      <c r="B25" s="410" t="s">
        <v>331</v>
      </c>
      <c r="C25" s="410"/>
      <c r="D25" s="410"/>
    </row>
    <row r="26" spans="2:4" s="18" customFormat="1">
      <c r="B26" s="287" t="s">
        <v>340</v>
      </c>
      <c r="C26" s="281">
        <f>SUM(C27:C31)</f>
        <v>518058</v>
      </c>
      <c r="D26" s="281">
        <f>SUM(D27:D31)</f>
        <v>109129</v>
      </c>
    </row>
    <row r="27" spans="2:4" s="18" customFormat="1">
      <c r="B27" s="395" t="s">
        <v>644</v>
      </c>
      <c r="C27" s="388">
        <v>14418</v>
      </c>
      <c r="D27" s="388">
        <v>18259</v>
      </c>
    </row>
    <row r="28" spans="2:4" s="18" customFormat="1" hidden="1">
      <c r="B28" s="395" t="s">
        <v>645</v>
      </c>
      <c r="C28" s="388"/>
      <c r="D28" s="388">
        <v>0</v>
      </c>
    </row>
    <row r="29" spans="2:4" s="18" customFormat="1">
      <c r="B29" s="395" t="s">
        <v>646</v>
      </c>
      <c r="C29" s="388">
        <v>449998</v>
      </c>
      <c r="D29" s="388">
        <v>90870</v>
      </c>
    </row>
    <row r="30" spans="2:4" s="18" customFormat="1" hidden="1">
      <c r="B30" s="395" t="s">
        <v>237</v>
      </c>
      <c r="C30" s="276">
        <v>0</v>
      </c>
      <c r="D30" s="276">
        <v>0</v>
      </c>
    </row>
    <row r="31" spans="2:4" s="18" customFormat="1">
      <c r="B31" s="395" t="s">
        <v>647</v>
      </c>
      <c r="C31" s="388">
        <v>53642</v>
      </c>
      <c r="D31" s="388">
        <v>0</v>
      </c>
    </row>
    <row r="32" spans="2:4" s="18" customFormat="1">
      <c r="B32" s="284" t="s">
        <v>341</v>
      </c>
      <c r="C32" s="271">
        <f>SUM(C33:C36)</f>
        <v>1932590</v>
      </c>
      <c r="D32" s="271">
        <f>SUM(D33:D36)</f>
        <v>1968063</v>
      </c>
    </row>
    <row r="33" spans="2:7" s="18" customFormat="1">
      <c r="B33" s="395" t="s">
        <v>1096</v>
      </c>
      <c r="C33" s="276">
        <v>1929327</v>
      </c>
      <c r="D33" s="276">
        <v>1914808</v>
      </c>
    </row>
    <row r="34" spans="2:7" s="28" customFormat="1" ht="11.4">
      <c r="B34" s="395" t="s">
        <v>1061</v>
      </c>
      <c r="C34" s="388">
        <v>3263</v>
      </c>
      <c r="D34" s="388">
        <v>0</v>
      </c>
    </row>
    <row r="35" spans="2:7" s="16" customFormat="1" ht="13.8" hidden="1">
      <c r="B35" s="395" t="s">
        <v>648</v>
      </c>
      <c r="C35" s="276">
        <v>0</v>
      </c>
      <c r="D35" s="276">
        <v>0</v>
      </c>
    </row>
    <row r="36" spans="2:7" s="16" customFormat="1" ht="13.8">
      <c r="B36" s="395" t="s">
        <v>649</v>
      </c>
      <c r="C36" s="276">
        <v>0</v>
      </c>
      <c r="D36" s="276">
        <v>53255</v>
      </c>
    </row>
    <row r="37" spans="2:7" s="18" customFormat="1">
      <c r="B37" s="286" t="s">
        <v>265</v>
      </c>
      <c r="C37" s="271">
        <f>C26-C32</f>
        <v>-1414532</v>
      </c>
      <c r="D37" s="271">
        <f>D26-D32</f>
        <v>-1858934</v>
      </c>
    </row>
    <row r="38" spans="2:7" s="15" customFormat="1" ht="13.8">
      <c r="B38" s="410" t="s">
        <v>334</v>
      </c>
      <c r="C38" s="410"/>
      <c r="D38" s="410"/>
      <c r="E38" s="16"/>
      <c r="F38" s="16"/>
      <c r="G38" s="16"/>
    </row>
    <row r="39" spans="2:7" s="29" customFormat="1">
      <c r="B39" s="287" t="s">
        <v>340</v>
      </c>
      <c r="C39" s="288">
        <f>SUM(C40:C43)</f>
        <v>1053936</v>
      </c>
      <c r="D39" s="288">
        <f>SUM(D40:D43)</f>
        <v>1770</v>
      </c>
    </row>
    <row r="40" spans="2:7" s="18" customFormat="1" hidden="1">
      <c r="B40" s="395" t="s">
        <v>650</v>
      </c>
      <c r="C40" s="396">
        <v>0</v>
      </c>
      <c r="D40" s="396">
        <v>0</v>
      </c>
    </row>
    <row r="41" spans="2:7" s="18" customFormat="1">
      <c r="B41" s="395" t="s">
        <v>651</v>
      </c>
      <c r="C41" s="396">
        <v>1053936</v>
      </c>
      <c r="D41" s="396">
        <v>1770</v>
      </c>
    </row>
    <row r="42" spans="2:7" s="18" customFormat="1" hidden="1">
      <c r="B42" s="395" t="s">
        <v>494</v>
      </c>
      <c r="C42" s="396">
        <v>0</v>
      </c>
      <c r="D42" s="396">
        <v>0</v>
      </c>
    </row>
    <row r="43" spans="2:7" s="18" customFormat="1" hidden="1">
      <c r="B43" s="285" t="s">
        <v>335</v>
      </c>
      <c r="C43" s="396">
        <v>0</v>
      </c>
      <c r="D43" s="396">
        <v>0</v>
      </c>
    </row>
    <row r="44" spans="2:7" s="18" customFormat="1">
      <c r="B44" s="284" t="s">
        <v>341</v>
      </c>
      <c r="C44" s="289">
        <f>SUM(C45:C53)</f>
        <v>2295731</v>
      </c>
      <c r="D44" s="289">
        <f>SUM(D45:D53)</f>
        <v>3355371</v>
      </c>
    </row>
    <row r="45" spans="2:7" s="18" customFormat="1">
      <c r="B45" s="395" t="s">
        <v>1095</v>
      </c>
      <c r="C45" s="276">
        <v>970035</v>
      </c>
      <c r="D45" s="396">
        <v>0</v>
      </c>
    </row>
    <row r="46" spans="2:7" s="18" customFormat="1" hidden="1">
      <c r="B46" s="395" t="s">
        <v>652</v>
      </c>
      <c r="C46" s="396">
        <v>0</v>
      </c>
      <c r="D46" s="396">
        <v>0</v>
      </c>
    </row>
    <row r="47" spans="2:7" s="18" customFormat="1" hidden="1">
      <c r="B47" s="285" t="s">
        <v>133</v>
      </c>
      <c r="C47" s="396">
        <v>0</v>
      </c>
      <c r="D47" s="396">
        <v>0</v>
      </c>
    </row>
    <row r="48" spans="2:7" s="18" customFormat="1">
      <c r="B48" s="395" t="s">
        <v>653</v>
      </c>
      <c r="C48" s="396">
        <v>338229</v>
      </c>
      <c r="D48" s="396">
        <v>1715019</v>
      </c>
    </row>
    <row r="49" spans="2:4" s="16" customFormat="1" ht="13.8" hidden="1">
      <c r="B49" s="285" t="s">
        <v>336</v>
      </c>
      <c r="C49" s="397"/>
      <c r="D49" s="397"/>
    </row>
    <row r="50" spans="2:4" s="18" customFormat="1" hidden="1">
      <c r="B50" s="285" t="s">
        <v>337</v>
      </c>
      <c r="C50" s="396"/>
      <c r="D50" s="396"/>
    </row>
    <row r="51" spans="2:4" s="18" customFormat="1">
      <c r="B51" s="395" t="s">
        <v>654</v>
      </c>
      <c r="C51" s="396">
        <v>884625</v>
      </c>
      <c r="D51" s="396">
        <v>979641</v>
      </c>
    </row>
    <row r="52" spans="2:4" s="18" customFormat="1">
      <c r="B52" s="395" t="s">
        <v>655</v>
      </c>
      <c r="C52" s="397">
        <v>102842</v>
      </c>
      <c r="D52" s="397">
        <v>13670</v>
      </c>
    </row>
    <row r="53" spans="2:4" s="18" customFormat="1">
      <c r="B53" s="395" t="s">
        <v>960</v>
      </c>
      <c r="C53" s="397">
        <v>0</v>
      </c>
      <c r="D53" s="397">
        <v>647041</v>
      </c>
    </row>
    <row r="54" spans="2:4" s="18" customFormat="1">
      <c r="B54" s="286" t="s">
        <v>266</v>
      </c>
      <c r="C54" s="271">
        <f>C39-C44</f>
        <v>-1241795</v>
      </c>
      <c r="D54" s="271">
        <f>D39-D44</f>
        <v>-3353601</v>
      </c>
    </row>
    <row r="55" spans="2:4" s="18" customFormat="1">
      <c r="B55" s="290" t="s">
        <v>267</v>
      </c>
      <c r="C55" s="281">
        <f>C24+C37+C54</f>
        <v>271940</v>
      </c>
      <c r="D55" s="281">
        <f>D24+D37+D54</f>
        <v>-1989835</v>
      </c>
    </row>
    <row r="56" spans="2:4" s="18" customFormat="1">
      <c r="B56" s="290" t="s">
        <v>268</v>
      </c>
      <c r="C56" s="273">
        <f>C59-C58</f>
        <v>271940</v>
      </c>
      <c r="D56" s="273">
        <f>D59-D58</f>
        <v>-1989835</v>
      </c>
    </row>
    <row r="57" spans="2:4" s="18" customFormat="1">
      <c r="B57" s="291" t="s">
        <v>339</v>
      </c>
      <c r="C57" s="388"/>
      <c r="D57" s="388"/>
    </row>
    <row r="58" spans="2:4" s="18" customFormat="1">
      <c r="B58" s="290" t="s">
        <v>269</v>
      </c>
      <c r="C58" s="273">
        <v>3962062</v>
      </c>
      <c r="D58" s="273">
        <v>5951897</v>
      </c>
    </row>
    <row r="59" spans="2:4" s="18" customFormat="1">
      <c r="B59" s="290" t="s">
        <v>244</v>
      </c>
      <c r="C59" s="271">
        <f>C55+C58</f>
        <v>4234002</v>
      </c>
      <c r="D59" s="271">
        <v>3962062</v>
      </c>
    </row>
    <row r="60" spans="2:4" s="21" customFormat="1">
      <c r="B60" s="19"/>
      <c r="C60" s="316"/>
      <c r="D60" s="317"/>
    </row>
    <row r="61" spans="2:4" s="21" customFormat="1">
      <c r="B61" s="19"/>
      <c r="C61" s="316"/>
      <c r="D61" s="317"/>
    </row>
    <row r="62" spans="2:4" s="21" customFormat="1">
      <c r="B62" s="19"/>
      <c r="C62" s="318"/>
      <c r="D62" s="317"/>
    </row>
    <row r="63" spans="2:4" s="21" customFormat="1">
      <c r="B63" s="19"/>
      <c r="C63" s="316"/>
      <c r="D63" s="317"/>
    </row>
    <row r="64" spans="2:4" s="21" customFormat="1">
      <c r="B64" s="19"/>
      <c r="C64" s="316"/>
      <c r="D64" s="317"/>
    </row>
    <row r="65" spans="2:4" s="21" customFormat="1">
      <c r="B65" s="19"/>
      <c r="C65" s="318"/>
      <c r="D65" s="317"/>
    </row>
    <row r="66" spans="2:4" s="21" customFormat="1" ht="11.4">
      <c r="B66" s="19"/>
      <c r="C66" s="317"/>
      <c r="D66" s="317"/>
    </row>
    <row r="67" spans="2:4" s="21" customFormat="1" ht="11.4">
      <c r="B67" s="19"/>
      <c r="C67" s="317"/>
      <c r="D67" s="317"/>
    </row>
    <row r="68" spans="2:4" s="21" customFormat="1" ht="13.8">
      <c r="B68" s="26"/>
      <c r="C68" s="317"/>
      <c r="D68" s="317"/>
    </row>
    <row r="69" spans="2:4" s="21" customFormat="1" ht="11.4">
      <c r="B69" s="19"/>
      <c r="C69" s="317"/>
      <c r="D69" s="317"/>
    </row>
    <row r="70" spans="2:4" s="21" customFormat="1" ht="13.8">
      <c r="B70" s="26"/>
      <c r="C70" s="317"/>
      <c r="D70" s="317"/>
    </row>
    <row r="71" spans="2:4" s="21" customFormat="1" ht="11.4">
      <c r="B71" s="19"/>
      <c r="C71" s="317"/>
      <c r="D71" s="317"/>
    </row>
    <row r="72" spans="2:4" s="21" customFormat="1" ht="11.4">
      <c r="B72" s="19"/>
      <c r="C72" s="317"/>
      <c r="D72" s="317"/>
    </row>
  </sheetData>
  <mergeCells count="1">
    <mergeCell ref="B4:D4"/>
  </mergeCells>
  <phoneticPr fontId="37" type="noConversion"/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8">
    <pageSetUpPr fitToPage="1"/>
  </sheetPr>
  <dimension ref="B3:T108"/>
  <sheetViews>
    <sheetView showGridLines="0" topLeftCell="A55" zoomScaleNormal="100" zoomScaleSheetLayoutView="100" workbookViewId="0">
      <selection activeCell="B60" sqref="B60:K68"/>
    </sheetView>
  </sheetViews>
  <sheetFormatPr defaultColWidth="9.33203125" defaultRowHeight="10.199999999999999"/>
  <cols>
    <col min="1" max="1" width="2.33203125" style="44" customWidth="1"/>
    <col min="2" max="2" width="40.33203125" style="44" customWidth="1"/>
    <col min="3" max="3" width="19.33203125" style="44" customWidth="1"/>
    <col min="4" max="4" width="19.44140625" style="44" customWidth="1"/>
    <col min="5" max="5" width="18.5546875" style="44" customWidth="1"/>
    <col min="6" max="6" width="20.44140625" style="44" customWidth="1"/>
    <col min="7" max="7" width="18.6640625" style="44" customWidth="1"/>
    <col min="8" max="9" width="11.5546875" style="44" customWidth="1"/>
    <col min="10" max="10" width="13.33203125" style="44" customWidth="1"/>
    <col min="11" max="11" width="13.5546875" style="44" customWidth="1"/>
    <col min="12" max="12" width="13.6640625" style="44" bestFit="1" customWidth="1"/>
    <col min="13" max="13" width="14.33203125" style="44" customWidth="1"/>
    <col min="14" max="16384" width="9.33203125" style="44"/>
  </cols>
  <sheetData>
    <row r="3" spans="2:8" ht="13.2">
      <c r="B3" s="381" t="s">
        <v>506</v>
      </c>
      <c r="C3"/>
      <c r="D3"/>
    </row>
    <row r="4" spans="2:8" ht="13.2">
      <c r="B4" s="458"/>
      <c r="C4"/>
      <c r="D4"/>
    </row>
    <row r="5" spans="2:8" ht="20.399999999999999">
      <c r="B5" s="99" t="s">
        <v>1076</v>
      </c>
      <c r="C5" s="666" t="s">
        <v>1043</v>
      </c>
      <c r="D5" s="666" t="s">
        <v>1071</v>
      </c>
      <c r="E5" s="666" t="s">
        <v>1044</v>
      </c>
      <c r="F5" s="666" t="s">
        <v>1045</v>
      </c>
      <c r="G5" s="666" t="s">
        <v>1046</v>
      </c>
      <c r="H5" s="666" t="s">
        <v>352</v>
      </c>
    </row>
    <row r="6" spans="2:8" ht="14.4" customHeight="1">
      <c r="B6" s="206" t="s">
        <v>1081</v>
      </c>
      <c r="C6" s="75">
        <v>4810766.0599999996</v>
      </c>
      <c r="D6" s="75">
        <v>472925.24</v>
      </c>
      <c r="E6" s="75">
        <v>0</v>
      </c>
      <c r="F6" s="75">
        <v>0</v>
      </c>
      <c r="G6" s="75">
        <v>0</v>
      </c>
      <c r="H6" s="75">
        <f>SUM(C6:G6)</f>
        <v>5283691.3</v>
      </c>
    </row>
    <row r="7" spans="2:8" ht="14.4" customHeight="1">
      <c r="B7" s="110" t="s">
        <v>1077</v>
      </c>
      <c r="C7" s="75">
        <v>3480019.47</v>
      </c>
      <c r="D7" s="75">
        <v>0</v>
      </c>
      <c r="E7" s="75">
        <v>0</v>
      </c>
      <c r="F7" s="75">
        <v>0</v>
      </c>
      <c r="G7" s="75">
        <v>0</v>
      </c>
      <c r="H7" s="75">
        <f t="shared" ref="H7:H18" si="0">SUM(C7:G7)</f>
        <v>3480019.47</v>
      </c>
    </row>
    <row r="8" spans="2:8" ht="14.4" customHeight="1">
      <c r="B8" s="110" t="s">
        <v>1078</v>
      </c>
      <c r="C8" s="75">
        <v>0</v>
      </c>
      <c r="D8" s="75">
        <v>15526815.43</v>
      </c>
      <c r="E8" s="75">
        <v>0</v>
      </c>
      <c r="F8" s="75">
        <v>0</v>
      </c>
      <c r="G8" s="75">
        <v>0</v>
      </c>
      <c r="H8" s="75">
        <f t="shared" si="0"/>
        <v>15526815.43</v>
      </c>
    </row>
    <row r="9" spans="2:8" ht="14.4" customHeight="1">
      <c r="B9" s="110" t="s">
        <v>1079</v>
      </c>
      <c r="C9" s="75">
        <v>0</v>
      </c>
      <c r="D9" s="75">
        <v>6902831.709999999</v>
      </c>
      <c r="E9" s="75">
        <v>0</v>
      </c>
      <c r="F9" s="75">
        <v>0</v>
      </c>
      <c r="G9" s="75">
        <v>0</v>
      </c>
      <c r="H9" s="75">
        <f t="shared" si="0"/>
        <v>6902831.709999999</v>
      </c>
    </row>
    <row r="10" spans="2:8" ht="14.4" customHeight="1">
      <c r="B10" s="110" t="s">
        <v>1080</v>
      </c>
      <c r="C10" s="75">
        <v>0</v>
      </c>
      <c r="D10" s="75">
        <v>0</v>
      </c>
      <c r="E10" s="75">
        <v>23490042.559999995</v>
      </c>
      <c r="F10" s="75">
        <v>618862.24</v>
      </c>
      <c r="G10" s="75">
        <v>0</v>
      </c>
      <c r="H10" s="75">
        <f t="shared" si="0"/>
        <v>24108904.799999993</v>
      </c>
    </row>
    <row r="11" spans="2:8" ht="14.4" customHeight="1">
      <c r="B11" s="110" t="s">
        <v>1082</v>
      </c>
      <c r="C11" s="75">
        <v>0</v>
      </c>
      <c r="D11" s="75">
        <v>0</v>
      </c>
      <c r="E11" s="75">
        <v>0</v>
      </c>
      <c r="F11" s="75">
        <v>8713266.629999999</v>
      </c>
      <c r="G11" s="75">
        <v>0</v>
      </c>
      <c r="H11" s="75">
        <f t="shared" si="0"/>
        <v>8713266.629999999</v>
      </c>
    </row>
    <row r="12" spans="2:8" ht="14.4" customHeight="1">
      <c r="B12" s="110" t="s">
        <v>1086</v>
      </c>
      <c r="C12" s="75">
        <v>0</v>
      </c>
      <c r="D12" s="75">
        <v>0</v>
      </c>
      <c r="E12" s="75">
        <v>0</v>
      </c>
      <c r="F12" s="75">
        <v>2886464.1300000004</v>
      </c>
      <c r="G12" s="75">
        <v>0</v>
      </c>
      <c r="H12" s="75">
        <f t="shared" si="0"/>
        <v>2886464.1300000004</v>
      </c>
    </row>
    <row r="13" spans="2:8" ht="14.4" customHeight="1">
      <c r="B13" s="110" t="s">
        <v>1085</v>
      </c>
      <c r="C13" s="75">
        <v>0</v>
      </c>
      <c r="D13" s="75">
        <v>0</v>
      </c>
      <c r="E13" s="75">
        <v>0</v>
      </c>
      <c r="F13" s="75">
        <v>1727269.58</v>
      </c>
      <c r="G13" s="75">
        <v>0</v>
      </c>
      <c r="H13" s="75">
        <f t="shared" si="0"/>
        <v>1727269.58</v>
      </c>
    </row>
    <row r="14" spans="2:8" ht="14.4" customHeight="1">
      <c r="B14" s="110" t="s">
        <v>1084</v>
      </c>
      <c r="C14" s="75">
        <v>0</v>
      </c>
      <c r="D14" s="75">
        <v>0</v>
      </c>
      <c r="E14" s="75">
        <v>0</v>
      </c>
      <c r="F14" s="75">
        <v>1007380.3400000001</v>
      </c>
      <c r="G14" s="75">
        <v>0</v>
      </c>
      <c r="H14" s="75">
        <f t="shared" si="0"/>
        <v>1007380.3400000001</v>
      </c>
    </row>
    <row r="15" spans="2:8" ht="14.4" customHeight="1">
      <c r="B15" s="110" t="s">
        <v>1083</v>
      </c>
      <c r="C15" s="75">
        <v>0</v>
      </c>
      <c r="D15" s="75">
        <v>0</v>
      </c>
      <c r="E15" s="75">
        <v>0</v>
      </c>
      <c r="F15" s="75">
        <v>654759.69999999995</v>
      </c>
      <c r="G15" s="75">
        <v>0</v>
      </c>
      <c r="H15" s="75">
        <f t="shared" si="0"/>
        <v>654759.69999999995</v>
      </c>
    </row>
    <row r="16" spans="2:8" ht="14.4" customHeight="1">
      <c r="B16" s="110" t="s">
        <v>1087</v>
      </c>
      <c r="C16" s="75">
        <v>0</v>
      </c>
      <c r="D16" s="75">
        <v>0</v>
      </c>
      <c r="E16" s="75">
        <v>0</v>
      </c>
      <c r="F16" s="75">
        <v>1850869.92</v>
      </c>
      <c r="G16" s="75">
        <v>0</v>
      </c>
      <c r="H16" s="75">
        <f t="shared" si="0"/>
        <v>1850869.92</v>
      </c>
    </row>
    <row r="17" spans="2:8" ht="14.4" customHeight="1">
      <c r="B17" s="110" t="s">
        <v>494</v>
      </c>
      <c r="C17" s="75">
        <f t="shared" ref="C17:E17" si="1">C18-SUM(C6:C16)</f>
        <v>2555905.7699999996</v>
      </c>
      <c r="D17" s="75">
        <f t="shared" si="1"/>
        <v>1799074.4299999923</v>
      </c>
      <c r="E17" s="75">
        <f t="shared" si="1"/>
        <v>279544.4299999997</v>
      </c>
      <c r="F17" s="75">
        <f>F18-SUM(F6:F16)</f>
        <v>3095602.7400000021</v>
      </c>
      <c r="G17" s="75">
        <f t="shared" ref="G17" si="2">G18-SUM(G6:G14)</f>
        <v>0</v>
      </c>
      <c r="H17" s="75">
        <f t="shared" si="0"/>
        <v>7730127.3699999936</v>
      </c>
    </row>
    <row r="18" spans="2:8" ht="14.4" customHeight="1">
      <c r="B18" s="40" t="s">
        <v>352</v>
      </c>
      <c r="C18" s="75">
        <f>D44</f>
        <v>10846691.299999999</v>
      </c>
      <c r="D18" s="75">
        <f t="shared" ref="D18:G18" si="3">E44</f>
        <v>24701646.809999991</v>
      </c>
      <c r="E18" s="75">
        <f t="shared" si="3"/>
        <v>23769586.989999995</v>
      </c>
      <c r="F18" s="75">
        <f t="shared" si="3"/>
        <v>20554475.280000001</v>
      </c>
      <c r="G18" s="75">
        <f t="shared" si="3"/>
        <v>0</v>
      </c>
      <c r="H18" s="75">
        <f t="shared" si="0"/>
        <v>79872400.379999995</v>
      </c>
    </row>
    <row r="19" spans="2:8" ht="12.75" customHeight="1">
      <c r="B19" s="3"/>
    </row>
    <row r="20" spans="2:8" ht="20.399999999999999">
      <c r="B20" s="99" t="s">
        <v>1088</v>
      </c>
      <c r="C20" s="666" t="s">
        <v>1043</v>
      </c>
      <c r="D20" s="666" t="s">
        <v>1071</v>
      </c>
      <c r="E20" s="666" t="s">
        <v>1044</v>
      </c>
      <c r="F20" s="666" t="s">
        <v>1045</v>
      </c>
      <c r="G20" s="666" t="s">
        <v>1046</v>
      </c>
      <c r="H20" s="666" t="s">
        <v>352</v>
      </c>
    </row>
    <row r="21" spans="2:8" ht="12.75" customHeight="1">
      <c r="B21" s="206" t="s">
        <v>1081</v>
      </c>
      <c r="C21" s="75">
        <v>4761416.66</v>
      </c>
      <c r="D21" s="75">
        <v>668619.82000000007</v>
      </c>
      <c r="E21" s="75">
        <v>0</v>
      </c>
      <c r="F21" s="75">
        <v>0</v>
      </c>
      <c r="G21" s="75">
        <v>0</v>
      </c>
      <c r="H21" s="75">
        <f>SUM(C21:G21)</f>
        <v>5430036.4800000004</v>
      </c>
    </row>
    <row r="22" spans="2:8" ht="12.75" customHeight="1">
      <c r="B22" s="110" t="s">
        <v>1077</v>
      </c>
      <c r="C22" s="75">
        <v>2586566.7200000002</v>
      </c>
      <c r="D22" s="75">
        <v>0</v>
      </c>
      <c r="E22" s="75">
        <v>0</v>
      </c>
      <c r="F22" s="75">
        <v>0</v>
      </c>
      <c r="G22" s="75">
        <v>0</v>
      </c>
      <c r="H22" s="75">
        <f t="shared" ref="H22:H33" si="4">SUM(C22:G22)</f>
        <v>2586566.7200000002</v>
      </c>
    </row>
    <row r="23" spans="2:8" ht="12.75" customHeight="1">
      <c r="B23" s="110" t="s">
        <v>1078</v>
      </c>
      <c r="C23" s="75">
        <v>0</v>
      </c>
      <c r="D23" s="75">
        <v>15850543.149999999</v>
      </c>
      <c r="E23" s="75">
        <v>0</v>
      </c>
      <c r="F23" s="75">
        <v>0</v>
      </c>
      <c r="G23" s="75">
        <v>0</v>
      </c>
      <c r="H23" s="75">
        <f t="shared" si="4"/>
        <v>15850543.149999999</v>
      </c>
    </row>
    <row r="24" spans="2:8" ht="12.75" customHeight="1">
      <c r="B24" s="110" t="s">
        <v>1079</v>
      </c>
      <c r="C24" s="75">
        <v>0</v>
      </c>
      <c r="D24" s="75">
        <v>4345038.8100000005</v>
      </c>
      <c r="E24" s="75">
        <v>0</v>
      </c>
      <c r="F24" s="75">
        <v>421749.63999999996</v>
      </c>
      <c r="G24" s="75">
        <v>0</v>
      </c>
      <c r="H24" s="75">
        <f t="shared" si="4"/>
        <v>4766788.45</v>
      </c>
    </row>
    <row r="25" spans="2:8" ht="12.75" customHeight="1">
      <c r="B25" s="110" t="s">
        <v>1080</v>
      </c>
      <c r="C25" s="75">
        <v>0</v>
      </c>
      <c r="D25" s="75">
        <v>0</v>
      </c>
      <c r="E25" s="75">
        <v>17837589.119999997</v>
      </c>
      <c r="F25" s="75">
        <v>790214.6100000001</v>
      </c>
      <c r="G25" s="75">
        <v>0</v>
      </c>
      <c r="H25" s="75">
        <f t="shared" si="4"/>
        <v>18627803.729999997</v>
      </c>
    </row>
    <row r="26" spans="2:8" ht="12.75" customHeight="1">
      <c r="B26" s="110" t="s">
        <v>1082</v>
      </c>
      <c r="C26" s="75">
        <v>0</v>
      </c>
      <c r="D26" s="75">
        <v>0</v>
      </c>
      <c r="E26" s="75">
        <v>0</v>
      </c>
      <c r="F26" s="75">
        <v>7801610.1899999995</v>
      </c>
      <c r="G26" s="75">
        <v>0</v>
      </c>
      <c r="H26" s="75">
        <f t="shared" si="4"/>
        <v>7801610.1899999995</v>
      </c>
    </row>
    <row r="27" spans="2:8" ht="12.75" customHeight="1">
      <c r="B27" s="110" t="s">
        <v>1086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f t="shared" si="4"/>
        <v>0</v>
      </c>
    </row>
    <row r="28" spans="2:8" ht="12.75" customHeight="1">
      <c r="B28" s="110" t="s">
        <v>1085</v>
      </c>
      <c r="C28" s="75">
        <v>0</v>
      </c>
      <c r="D28" s="75">
        <v>0</v>
      </c>
      <c r="E28" s="75">
        <v>0</v>
      </c>
      <c r="F28" s="75">
        <v>1936404.2599999998</v>
      </c>
      <c r="G28" s="75">
        <v>0</v>
      </c>
      <c r="H28" s="75">
        <f t="shared" si="4"/>
        <v>1936404.2599999998</v>
      </c>
    </row>
    <row r="29" spans="2:8" ht="12.75" customHeight="1">
      <c r="B29" s="110" t="s">
        <v>1084</v>
      </c>
      <c r="C29" s="75">
        <v>0</v>
      </c>
      <c r="D29" s="75">
        <v>0</v>
      </c>
      <c r="E29" s="75">
        <v>0</v>
      </c>
      <c r="F29" s="75">
        <v>1197535.7199999997</v>
      </c>
      <c r="G29" s="75">
        <v>0</v>
      </c>
      <c r="H29" s="75">
        <f t="shared" si="4"/>
        <v>1197535.7199999997</v>
      </c>
    </row>
    <row r="30" spans="2:8" ht="12.75" customHeight="1">
      <c r="B30" s="110" t="s">
        <v>1083</v>
      </c>
      <c r="C30" s="75">
        <v>0</v>
      </c>
      <c r="D30" s="75">
        <v>0</v>
      </c>
      <c r="E30" s="75">
        <v>0</v>
      </c>
      <c r="F30" s="75">
        <v>355272.53</v>
      </c>
      <c r="G30" s="75">
        <v>0</v>
      </c>
      <c r="H30" s="75">
        <f t="shared" si="4"/>
        <v>355272.53</v>
      </c>
    </row>
    <row r="31" spans="2:8" ht="12.75" customHeight="1">
      <c r="B31" s="110" t="s">
        <v>1087</v>
      </c>
      <c r="C31" s="75">
        <v>0</v>
      </c>
      <c r="D31" s="75">
        <v>0</v>
      </c>
      <c r="E31" s="75">
        <v>0</v>
      </c>
      <c r="F31" s="75">
        <v>1253465.24</v>
      </c>
      <c r="G31" s="75">
        <v>0</v>
      </c>
      <c r="H31" s="75">
        <f t="shared" si="4"/>
        <v>1253465.24</v>
      </c>
    </row>
    <row r="32" spans="2:8" ht="12.75" customHeight="1">
      <c r="B32" s="110" t="s">
        <v>494</v>
      </c>
      <c r="C32" s="75">
        <f t="shared" ref="C32" si="5">C33-SUM(C21:C31)</f>
        <v>2142738.799999997</v>
      </c>
      <c r="D32" s="75">
        <f t="shared" ref="D32" si="6">D33-SUM(D21:D31)</f>
        <v>1532331.5618359931</v>
      </c>
      <c r="E32" s="75">
        <f t="shared" ref="E32" si="7">E33-SUM(E21:E31)</f>
        <v>1033014.2800000012</v>
      </c>
      <c r="F32" s="75">
        <f>F33-SUM(F21:F31)</f>
        <v>2978104.8881640024</v>
      </c>
      <c r="G32" s="75">
        <f t="shared" ref="G32" si="8">G33-SUM(G21:G29)</f>
        <v>0</v>
      </c>
      <c r="H32" s="75">
        <f t="shared" si="4"/>
        <v>7686189.5299999937</v>
      </c>
    </row>
    <row r="33" spans="2:20" ht="12.75" customHeight="1">
      <c r="B33" s="40" t="s">
        <v>352</v>
      </c>
      <c r="C33" s="75">
        <f>D64</f>
        <v>9490722.1799999978</v>
      </c>
      <c r="D33" s="75">
        <f t="shared" ref="D33:F33" si="9">E64</f>
        <v>22396533.341835994</v>
      </c>
      <c r="E33" s="75">
        <f t="shared" si="9"/>
        <v>18870603.399999999</v>
      </c>
      <c r="F33" s="75">
        <f t="shared" si="9"/>
        <v>16734357.078164</v>
      </c>
      <c r="G33" s="75">
        <f>H64</f>
        <v>0</v>
      </c>
      <c r="H33" s="75">
        <f t="shared" si="4"/>
        <v>67492215.999999985</v>
      </c>
    </row>
    <row r="34" spans="2:20" ht="12.75" customHeight="1">
      <c r="B34" s="3"/>
    </row>
    <row r="35" spans="2:20" ht="12.75" customHeight="1">
      <c r="B35" s="3"/>
    </row>
    <row r="36" spans="2:20" ht="13.2">
      <c r="B36" s="381" t="s">
        <v>507</v>
      </c>
      <c r="C36"/>
      <c r="D36"/>
      <c r="E36"/>
      <c r="F36"/>
      <c r="G36"/>
      <c r="H36"/>
      <c r="I36"/>
      <c r="J36"/>
      <c r="K36"/>
      <c r="L36"/>
    </row>
    <row r="37" spans="2:20" ht="13.2">
      <c r="B37" s="381"/>
      <c r="C37"/>
      <c r="D37"/>
      <c r="E37"/>
      <c r="F37"/>
      <c r="G37"/>
      <c r="H37"/>
      <c r="I37"/>
      <c r="J37"/>
      <c r="K37"/>
      <c r="L37"/>
    </row>
    <row r="38" spans="2:20" ht="15" customHeight="1">
      <c r="B38" s="53" t="s">
        <v>1041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</row>
    <row r="39" spans="2:20" ht="14.4" customHeight="1">
      <c r="B39" s="5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</row>
    <row r="40" spans="2:20" s="579" customFormat="1" ht="14.4" customHeight="1">
      <c r="B40" s="693" t="s">
        <v>1042</v>
      </c>
      <c r="C40" s="693"/>
      <c r="D40" s="694" t="s">
        <v>7</v>
      </c>
      <c r="E40" s="695"/>
      <c r="F40" s="695"/>
      <c r="G40" s="695"/>
      <c r="H40" s="696"/>
      <c r="I40" s="690" t="s">
        <v>499</v>
      </c>
      <c r="J40" s="690" t="s">
        <v>503</v>
      </c>
      <c r="K40" s="690" t="s">
        <v>352</v>
      </c>
      <c r="L40" s="44"/>
    </row>
    <row r="41" spans="2:20" s="579" customFormat="1" ht="27" customHeight="1">
      <c r="B41" s="693"/>
      <c r="C41" s="693"/>
      <c r="D41" s="666" t="s">
        <v>1043</v>
      </c>
      <c r="E41" s="666" t="s">
        <v>1071</v>
      </c>
      <c r="F41" s="666" t="s">
        <v>1044</v>
      </c>
      <c r="G41" s="666" t="s">
        <v>1045</v>
      </c>
      <c r="H41" s="666" t="s">
        <v>1046</v>
      </c>
      <c r="I41" s="691"/>
      <c r="J41" s="691"/>
      <c r="K41" s="691"/>
      <c r="L41" s="44"/>
    </row>
    <row r="42" spans="2:20" ht="14.4" customHeight="1">
      <c r="B42" s="697" t="s">
        <v>262</v>
      </c>
      <c r="C42" s="698"/>
      <c r="D42" s="135">
        <v>10878790.479999999</v>
      </c>
      <c r="E42" s="233">
        <v>28026085.619999997</v>
      </c>
      <c r="F42" s="233">
        <v>23772438.489999995</v>
      </c>
      <c r="G42" s="233">
        <v>20934478.84</v>
      </c>
      <c r="H42" s="233">
        <v>3089924.68</v>
      </c>
      <c r="I42" s="233">
        <v>0</v>
      </c>
      <c r="J42" s="233">
        <f t="shared" ref="J42:J53" si="10">-SUM(D42:H42)+K42</f>
        <v>-6829317.7300000042</v>
      </c>
      <c r="K42" s="233">
        <v>79872400.379999995</v>
      </c>
      <c r="L42" s="355">
        <f>K42-RZiS!D3</f>
        <v>0.37999999523162842</v>
      </c>
      <c r="M42" s="133"/>
      <c r="N42" s="133"/>
      <c r="O42" s="133"/>
      <c r="P42" s="133"/>
      <c r="Q42" s="133"/>
      <c r="R42" s="133"/>
    </row>
    <row r="43" spans="2:20" ht="14.4" customHeight="1">
      <c r="B43" s="667" t="s">
        <v>1072</v>
      </c>
      <c r="C43" s="668"/>
      <c r="D43" s="135">
        <v>32099.180000000004</v>
      </c>
      <c r="E43" s="233">
        <f>-J42-D43-F43-G43-H43</f>
        <v>3324438.8100000047</v>
      </c>
      <c r="F43" s="233">
        <v>2851.5</v>
      </c>
      <c r="G43" s="233">
        <f>100428.56+39575+240000</f>
        <v>380003.56</v>
      </c>
      <c r="H43" s="233">
        <v>3089924.68</v>
      </c>
      <c r="I43" s="233">
        <v>0</v>
      </c>
      <c r="J43" s="233">
        <f t="shared" si="10"/>
        <v>-6829317.7300000051</v>
      </c>
      <c r="K43" s="233">
        <v>0</v>
      </c>
      <c r="L43" s="355"/>
      <c r="M43" s="133"/>
      <c r="N43" s="133"/>
      <c r="O43" s="133"/>
      <c r="P43" s="133"/>
      <c r="Q43" s="133"/>
      <c r="R43" s="133"/>
    </row>
    <row r="44" spans="2:20" ht="14.4" customHeight="1">
      <c r="B44" s="667" t="s">
        <v>1073</v>
      </c>
      <c r="C44" s="668"/>
      <c r="D44" s="135">
        <f>D42-D43</f>
        <v>10846691.299999999</v>
      </c>
      <c r="E44" s="135">
        <f t="shared" ref="E44:H44" si="11">E42-E43</f>
        <v>24701646.809999991</v>
      </c>
      <c r="F44" s="135">
        <f t="shared" si="11"/>
        <v>23769586.989999995</v>
      </c>
      <c r="G44" s="135">
        <f t="shared" si="11"/>
        <v>20554475.280000001</v>
      </c>
      <c r="H44" s="135">
        <f t="shared" si="11"/>
        <v>0</v>
      </c>
      <c r="I44" s="233">
        <v>0</v>
      </c>
      <c r="J44" s="233">
        <f t="shared" ref="J44" si="12">-SUM(D44:H44)+K44</f>
        <v>0</v>
      </c>
      <c r="K44" s="233">
        <f>K42</f>
        <v>79872400.379999995</v>
      </c>
      <c r="L44" s="355"/>
      <c r="M44" s="133"/>
      <c r="N44" s="133"/>
      <c r="O44" s="133"/>
      <c r="P44" s="133"/>
      <c r="Q44" s="133"/>
      <c r="R44" s="133"/>
    </row>
    <row r="45" spans="2:20" ht="14.4" hidden="1" customHeight="1">
      <c r="B45" s="667" t="s">
        <v>1074</v>
      </c>
      <c r="C45" s="668"/>
      <c r="D45" s="135">
        <v>32099.180000000004</v>
      </c>
      <c r="E45" s="135">
        <v>6542063.6400000006</v>
      </c>
      <c r="F45" s="135">
        <v>191310.40000000002</v>
      </c>
      <c r="G45" s="135">
        <v>7108615.4000000004</v>
      </c>
      <c r="H45" s="135">
        <v>5209569.6399999997</v>
      </c>
      <c r="I45" s="233">
        <v>0</v>
      </c>
      <c r="J45" s="233">
        <f>-SUM(D45:H45)</f>
        <v>-19083658.260000002</v>
      </c>
      <c r="K45" s="233">
        <v>0</v>
      </c>
      <c r="L45" s="355"/>
      <c r="M45" s="133"/>
      <c r="N45" s="133"/>
      <c r="O45" s="133"/>
      <c r="P45" s="133"/>
      <c r="Q45" s="133"/>
      <c r="R45" s="133"/>
    </row>
    <row r="46" spans="2:20" ht="14.4" hidden="1" customHeight="1">
      <c r="B46" s="667" t="s">
        <v>1075</v>
      </c>
      <c r="C46" s="668"/>
      <c r="D46" s="135">
        <f>D45-D43</f>
        <v>0</v>
      </c>
      <c r="E46" s="135">
        <f t="shared" ref="E46:H46" si="13">E45-E43</f>
        <v>3217624.8299999959</v>
      </c>
      <c r="F46" s="135">
        <f t="shared" si="13"/>
        <v>188458.90000000002</v>
      </c>
      <c r="G46" s="135">
        <f t="shared" si="13"/>
        <v>6728611.8400000008</v>
      </c>
      <c r="H46" s="135">
        <f t="shared" si="13"/>
        <v>2119644.9599999995</v>
      </c>
      <c r="I46" s="233">
        <v>0</v>
      </c>
      <c r="J46" s="233">
        <f>-SUM(D46:H46)</f>
        <v>-12254340.529999996</v>
      </c>
      <c r="K46" s="233">
        <v>0</v>
      </c>
      <c r="L46" s="355"/>
      <c r="M46" s="133"/>
      <c r="N46" s="133"/>
      <c r="O46" s="133"/>
      <c r="P46" s="133"/>
      <c r="Q46" s="133"/>
      <c r="R46" s="133"/>
    </row>
    <row r="47" spans="2:20" ht="14.4" customHeight="1">
      <c r="B47" s="692" t="s">
        <v>1047</v>
      </c>
      <c r="C47" s="692"/>
      <c r="D47" s="590">
        <v>-508889.87000000291</v>
      </c>
      <c r="E47" s="590">
        <v>3583396.8399999943</v>
      </c>
      <c r="F47" s="590">
        <v>4040889.4799999935</v>
      </c>
      <c r="G47" s="590">
        <v>-3195167.7849999988</v>
      </c>
      <c r="H47" s="590">
        <v>-3997328.6249999995</v>
      </c>
      <c r="I47" s="590">
        <v>0</v>
      </c>
      <c r="J47" s="590">
        <f t="shared" si="10"/>
        <v>717075.73151000647</v>
      </c>
      <c r="K47" s="590">
        <v>639975.77150999254</v>
      </c>
      <c r="L47" s="355">
        <f>K47-RZiS!D21</f>
        <v>-0.22849000745918602</v>
      </c>
      <c r="M47" s="133"/>
      <c r="N47" s="133"/>
      <c r="O47" s="133"/>
      <c r="P47" s="133"/>
      <c r="Q47" s="133"/>
      <c r="R47" s="133"/>
    </row>
    <row r="48" spans="2:20" ht="14.4" customHeight="1">
      <c r="B48" s="692" t="s">
        <v>1048</v>
      </c>
      <c r="C48" s="692"/>
      <c r="D48" s="161">
        <v>-236216.89000000287</v>
      </c>
      <c r="E48" s="74">
        <v>4687777.6199999945</v>
      </c>
      <c r="F48" s="161">
        <v>4040889.4799999935</v>
      </c>
      <c r="G48" s="161">
        <v>-2603167.6749999989</v>
      </c>
      <c r="H48" s="161">
        <v>-3839413.8949999996</v>
      </c>
      <c r="I48" s="161">
        <v>0</v>
      </c>
      <c r="J48" s="665">
        <f t="shared" si="10"/>
        <v>1521494.900000005</v>
      </c>
      <c r="K48" s="161">
        <v>3571363.5399999926</v>
      </c>
      <c r="L48" s="355">
        <f>K48-RZiS!D21-RZiS!D8</f>
        <v>-0.46000000741332769</v>
      </c>
      <c r="M48" s="133"/>
      <c r="N48" s="133"/>
      <c r="O48" s="133"/>
      <c r="P48" s="133"/>
      <c r="Q48" s="133"/>
      <c r="R48" s="133"/>
    </row>
    <row r="49" spans="2:20" ht="14.4" hidden="1" customHeight="1">
      <c r="B49" s="663" t="s">
        <v>293</v>
      </c>
      <c r="C49" s="664"/>
      <c r="D49" s="233">
        <v>0</v>
      </c>
      <c r="E49" s="135">
        <v>4038.45</v>
      </c>
      <c r="F49" s="233">
        <v>44151.63</v>
      </c>
      <c r="G49" s="233">
        <v>23388.880000000001</v>
      </c>
      <c r="H49" s="233">
        <v>41798.699999999997</v>
      </c>
      <c r="I49" s="233">
        <v>0</v>
      </c>
      <c r="J49" s="233">
        <f t="shared" si="10"/>
        <v>-47976.789999999994</v>
      </c>
      <c r="K49" s="233">
        <v>65400.869999999995</v>
      </c>
      <c r="L49" s="355">
        <f>K49-RZiS!D22</f>
        <v>-0.13000000000465661</v>
      </c>
      <c r="M49" s="133"/>
      <c r="N49" s="133"/>
      <c r="O49" s="133"/>
      <c r="P49" s="133"/>
      <c r="Q49" s="133"/>
      <c r="R49" s="133"/>
    </row>
    <row r="50" spans="2:20" ht="14.4" hidden="1" customHeight="1">
      <c r="B50" s="686" t="s">
        <v>492</v>
      </c>
      <c r="C50" s="686"/>
      <c r="D50" s="233">
        <v>0</v>
      </c>
      <c r="E50" s="135">
        <v>33586.57</v>
      </c>
      <c r="F50" s="233">
        <v>106019.7</v>
      </c>
      <c r="G50" s="233">
        <v>49208.800000000003</v>
      </c>
      <c r="H50" s="233">
        <v>185087</v>
      </c>
      <c r="I50" s="233">
        <v>0</v>
      </c>
      <c r="J50" s="233">
        <f t="shared" si="10"/>
        <v>-47975.070000000007</v>
      </c>
      <c r="K50" s="233">
        <v>325927</v>
      </c>
      <c r="L50" s="355">
        <f>K50-RZiS!D23</f>
        <v>0</v>
      </c>
      <c r="M50" s="133"/>
      <c r="N50" s="133"/>
      <c r="O50" s="133"/>
      <c r="P50" s="133"/>
      <c r="Q50" s="133"/>
      <c r="R50" s="133"/>
    </row>
    <row r="51" spans="2:20" ht="14.4" hidden="1" customHeight="1">
      <c r="B51" s="692" t="s">
        <v>500</v>
      </c>
      <c r="C51" s="692"/>
      <c r="D51" s="161">
        <f>D47+D49-D50</f>
        <v>-508889.87000000291</v>
      </c>
      <c r="E51" s="161">
        <f t="shared" ref="E51:H51" si="14">E47+E49-E50</f>
        <v>3553848.7199999946</v>
      </c>
      <c r="F51" s="161">
        <f t="shared" si="14"/>
        <v>3979021.4099999932</v>
      </c>
      <c r="G51" s="161">
        <f t="shared" si="14"/>
        <v>-3220987.7049999987</v>
      </c>
      <c r="H51" s="161">
        <f t="shared" si="14"/>
        <v>-4140616.9249999993</v>
      </c>
      <c r="I51" s="161">
        <v>0</v>
      </c>
      <c r="J51" s="665">
        <f t="shared" si="10"/>
        <v>717074.01151000569</v>
      </c>
      <c r="K51" s="161">
        <f t="shared" ref="K51" si="15">K47+K49-K50</f>
        <v>379449.64150999254</v>
      </c>
      <c r="L51" s="355">
        <f>K51-RZiS!D26</f>
        <v>-0.35849000746384263</v>
      </c>
      <c r="M51" s="133"/>
      <c r="N51" s="133"/>
      <c r="O51" s="133"/>
      <c r="P51" s="133"/>
      <c r="Q51" s="133"/>
      <c r="R51" s="133"/>
    </row>
    <row r="52" spans="2:20" ht="14.4" hidden="1" customHeight="1">
      <c r="B52" s="686" t="s">
        <v>417</v>
      </c>
      <c r="C52" s="686"/>
      <c r="D52" s="233">
        <v>0</v>
      </c>
      <c r="E52" s="135">
        <v>62497.979999999996</v>
      </c>
      <c r="F52" s="200">
        <v>283749</v>
      </c>
      <c r="G52" s="200">
        <v>-135911</v>
      </c>
      <c r="H52" s="233">
        <v>-111227</v>
      </c>
      <c r="I52" s="233">
        <v>0</v>
      </c>
      <c r="J52" s="233">
        <f t="shared" si="10"/>
        <v>1193</v>
      </c>
      <c r="K52" s="233">
        <v>100301.97999999998</v>
      </c>
      <c r="L52" s="355">
        <f>K52-RZiS!D27</f>
        <v>-2.0000000018626451E-2</v>
      </c>
      <c r="M52" s="133"/>
      <c r="N52" s="133"/>
      <c r="O52" s="133"/>
      <c r="P52" s="133"/>
      <c r="Q52" s="133"/>
      <c r="R52" s="133"/>
    </row>
    <row r="53" spans="2:20" ht="14.4" hidden="1" customHeight="1">
      <c r="B53" s="687" t="s">
        <v>561</v>
      </c>
      <c r="C53" s="688"/>
      <c r="D53" s="233">
        <v>0</v>
      </c>
      <c r="E53" s="233">
        <v>0</v>
      </c>
      <c r="F53" s="233">
        <v>0</v>
      </c>
      <c r="G53" s="233">
        <v>0</v>
      </c>
      <c r="H53" s="233">
        <v>0</v>
      </c>
      <c r="I53" s="233">
        <v>0</v>
      </c>
      <c r="J53" s="233">
        <f t="shared" si="10"/>
        <v>83328.600000000006</v>
      </c>
      <c r="K53" s="233">
        <v>83328.600000000006</v>
      </c>
      <c r="L53" s="355">
        <f>K53-RZiS!D33</f>
        <v>-0.39999999999417923</v>
      </c>
      <c r="M53" s="133"/>
      <c r="N53" s="133"/>
      <c r="O53" s="133"/>
      <c r="P53" s="133"/>
      <c r="Q53" s="133"/>
      <c r="R53" s="133"/>
    </row>
    <row r="54" spans="2:20" ht="14.4" hidden="1" customHeight="1" thickBot="1">
      <c r="B54" s="689" t="s">
        <v>501</v>
      </c>
      <c r="C54" s="689"/>
      <c r="D54" s="591">
        <f>D51-D52-D53</f>
        <v>-508889.87000000291</v>
      </c>
      <c r="E54" s="591">
        <f t="shared" ref="E54:H54" si="16">E51-E52-E53</f>
        <v>3491350.7399999946</v>
      </c>
      <c r="F54" s="591">
        <f t="shared" si="16"/>
        <v>3695272.4099999932</v>
      </c>
      <c r="G54" s="591">
        <f t="shared" si="16"/>
        <v>-3085076.7049999987</v>
      </c>
      <c r="H54" s="591">
        <f t="shared" si="16"/>
        <v>-4029389.9249999993</v>
      </c>
      <c r="I54" s="591">
        <v>0</v>
      </c>
      <c r="J54" s="591">
        <f t="shared" ref="J54:K54" si="17">J51-J52-J53</f>
        <v>632552.41151000571</v>
      </c>
      <c r="K54" s="591">
        <f t="shared" si="17"/>
        <v>195819.06150999255</v>
      </c>
      <c r="L54" s="355">
        <f>K54-RZiS!D34</f>
        <v>6.1509992548963055E-2</v>
      </c>
      <c r="M54" s="133"/>
      <c r="N54" s="133"/>
      <c r="O54" s="133"/>
      <c r="P54" s="133"/>
      <c r="Q54" s="133"/>
      <c r="R54" s="133"/>
    </row>
    <row r="55" spans="2:20" ht="14.4" customHeight="1">
      <c r="M55" s="133"/>
      <c r="N55" s="133"/>
      <c r="O55" s="133"/>
      <c r="P55" s="133"/>
      <c r="Q55" s="133"/>
      <c r="R55" s="133"/>
    </row>
    <row r="56" spans="2:20" ht="15" hidden="1" customHeight="1">
      <c r="B56" s="683" t="s">
        <v>502</v>
      </c>
      <c r="C56" s="683"/>
      <c r="D56" s="660">
        <v>0</v>
      </c>
      <c r="E56" s="658">
        <v>0</v>
      </c>
      <c r="F56" s="658">
        <v>0</v>
      </c>
      <c r="G56" s="660">
        <v>0</v>
      </c>
      <c r="H56" s="659">
        <v>0</v>
      </c>
      <c r="I56" s="659">
        <v>0</v>
      </c>
      <c r="J56" s="233">
        <v>0</v>
      </c>
      <c r="K56" s="133"/>
      <c r="L56" s="133"/>
      <c r="M56" s="133"/>
      <c r="N56" s="133"/>
      <c r="O56" s="133"/>
      <c r="P56" s="133"/>
      <c r="Q56" s="133"/>
      <c r="R56" s="133"/>
    </row>
    <row r="57" spans="2:20" ht="13.2">
      <c r="B57" s="535" t="s">
        <v>1049</v>
      </c>
      <c r="C57" s="535"/>
      <c r="D57" s="535"/>
      <c r="E57" s="535"/>
      <c r="F57" s="535"/>
      <c r="G57" s="535"/>
      <c r="H57"/>
      <c r="I57"/>
      <c r="J57"/>
      <c r="K57"/>
      <c r="L57"/>
    </row>
    <row r="58" spans="2:20" ht="15" customHeight="1">
      <c r="B58" s="53" t="s">
        <v>848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</row>
    <row r="59" spans="2:20" ht="15" customHeight="1">
      <c r="B59" s="5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</row>
    <row r="60" spans="2:20" ht="15" customHeight="1">
      <c r="B60" s="693" t="s">
        <v>849</v>
      </c>
      <c r="C60" s="693"/>
      <c r="D60" s="694" t="s">
        <v>7</v>
      </c>
      <c r="E60" s="695"/>
      <c r="F60" s="695"/>
      <c r="G60" s="695"/>
      <c r="H60" s="696"/>
      <c r="I60" s="690" t="s">
        <v>499</v>
      </c>
      <c r="J60" s="690" t="s">
        <v>503</v>
      </c>
      <c r="K60" s="690" t="s">
        <v>352</v>
      </c>
      <c r="L60" s="133"/>
      <c r="M60" s="133"/>
      <c r="N60" s="133"/>
      <c r="O60" s="133"/>
      <c r="P60" s="133"/>
      <c r="Q60" s="133"/>
      <c r="R60" s="133"/>
      <c r="S60" s="133"/>
      <c r="T60" s="133"/>
    </row>
    <row r="61" spans="2:20" ht="20.399999999999999">
      <c r="B61" s="693"/>
      <c r="C61" s="693"/>
      <c r="D61" s="666" t="s">
        <v>1043</v>
      </c>
      <c r="E61" s="666" t="s">
        <v>1071</v>
      </c>
      <c r="F61" s="666" t="s">
        <v>1044</v>
      </c>
      <c r="G61" s="666" t="s">
        <v>1045</v>
      </c>
      <c r="H61" s="666" t="s">
        <v>1046</v>
      </c>
      <c r="I61" s="691"/>
      <c r="J61" s="691"/>
      <c r="K61" s="691"/>
      <c r="L61" s="133"/>
      <c r="M61" s="133"/>
      <c r="N61" s="133"/>
      <c r="O61" s="133"/>
      <c r="P61" s="133"/>
      <c r="Q61" s="133"/>
      <c r="R61" s="133"/>
      <c r="S61" s="133"/>
      <c r="T61" s="133"/>
    </row>
    <row r="62" spans="2:20" ht="15" customHeight="1">
      <c r="B62" s="697" t="s">
        <v>262</v>
      </c>
      <c r="C62" s="698"/>
      <c r="D62" s="135">
        <v>9515415.6799999978</v>
      </c>
      <c r="E62" s="233">
        <v>25886390.009999998</v>
      </c>
      <c r="F62" s="233">
        <v>18887898.309999999</v>
      </c>
      <c r="G62" s="233">
        <v>17016548.868163999</v>
      </c>
      <c r="H62" s="233">
        <v>2891323</v>
      </c>
      <c r="I62" s="233">
        <v>0</v>
      </c>
      <c r="J62" s="233">
        <f>-SUM(D62:H62)+K62</f>
        <v>-6705359.8681640029</v>
      </c>
      <c r="K62" s="233">
        <v>67492216</v>
      </c>
      <c r="L62" s="308">
        <f>K62-RZiS!E3</f>
        <v>0</v>
      </c>
      <c r="M62" s="133"/>
      <c r="N62" s="133"/>
      <c r="O62" s="133"/>
      <c r="P62" s="133"/>
      <c r="Q62" s="133"/>
      <c r="R62" s="133"/>
      <c r="S62" s="133"/>
      <c r="T62" s="133"/>
    </row>
    <row r="63" spans="2:20" ht="15" customHeight="1">
      <c r="B63" s="667" t="s">
        <v>1072</v>
      </c>
      <c r="C63" s="668"/>
      <c r="D63" s="135">
        <v>24693.5</v>
      </c>
      <c r="E63" s="233">
        <f>-J62-D63-F63-G63-H63</f>
        <v>3489856.6681640027</v>
      </c>
      <c r="F63" s="233">
        <v>17294.91</v>
      </c>
      <c r="G63" s="233">
        <f>63153.28+219038.51</f>
        <v>282191.79000000004</v>
      </c>
      <c r="H63" s="233">
        <v>2891323</v>
      </c>
      <c r="I63" s="233">
        <v>0</v>
      </c>
      <c r="J63" s="233">
        <f t="shared" ref="J63:J64" si="18">-SUM(D63:H63)+K63</f>
        <v>-6705359.8681640029</v>
      </c>
      <c r="K63" s="233">
        <v>0</v>
      </c>
      <c r="L63" s="308"/>
      <c r="M63" s="133"/>
      <c r="N63" s="133"/>
      <c r="O63" s="133"/>
      <c r="P63" s="133"/>
      <c r="Q63" s="133"/>
      <c r="R63" s="133"/>
      <c r="S63" s="133"/>
      <c r="T63" s="133"/>
    </row>
    <row r="64" spans="2:20" ht="15" customHeight="1">
      <c r="B64" s="667" t="s">
        <v>1073</v>
      </c>
      <c r="C64" s="668"/>
      <c r="D64" s="135">
        <f>D62-D63</f>
        <v>9490722.1799999978</v>
      </c>
      <c r="E64" s="135">
        <f t="shared" ref="E64" si="19">E62-E63</f>
        <v>22396533.341835994</v>
      </c>
      <c r="F64" s="135">
        <f t="shared" ref="F64" si="20">F62-F63</f>
        <v>18870603.399999999</v>
      </c>
      <c r="G64" s="135">
        <f t="shared" ref="G64" si="21">G62-G63</f>
        <v>16734357.078164</v>
      </c>
      <c r="H64" s="135">
        <f t="shared" ref="H64" si="22">H62-H63</f>
        <v>0</v>
      </c>
      <c r="I64" s="233">
        <v>0</v>
      </c>
      <c r="J64" s="233">
        <f t="shared" si="18"/>
        <v>0</v>
      </c>
      <c r="K64" s="233">
        <f>K62</f>
        <v>67492216</v>
      </c>
      <c r="L64" s="308"/>
      <c r="M64" s="133"/>
      <c r="N64" s="133"/>
      <c r="O64" s="133"/>
      <c r="P64" s="133"/>
      <c r="Q64" s="133"/>
      <c r="R64" s="133"/>
      <c r="S64" s="133"/>
      <c r="T64" s="133"/>
    </row>
    <row r="65" spans="2:20" ht="15" hidden="1" customHeight="1">
      <c r="B65" s="667" t="s">
        <v>1074</v>
      </c>
      <c r="C65" s="668"/>
      <c r="D65" s="135">
        <v>24693.5</v>
      </c>
      <c r="E65" s="135">
        <v>6506236.4399999995</v>
      </c>
      <c r="F65" s="135">
        <v>17294.91</v>
      </c>
      <c r="G65" s="135">
        <v>4662852.33</v>
      </c>
      <c r="H65" s="135">
        <v>4473266.8999999994</v>
      </c>
      <c r="I65" s="233">
        <v>0</v>
      </c>
      <c r="J65" s="233">
        <f>-SUM(D65:H65)</f>
        <v>-15684344.079999998</v>
      </c>
      <c r="K65" s="233">
        <v>0</v>
      </c>
      <c r="L65" s="308"/>
      <c r="M65" s="133"/>
      <c r="N65" s="133"/>
      <c r="O65" s="133"/>
      <c r="P65" s="133"/>
      <c r="Q65" s="133"/>
      <c r="R65" s="133"/>
      <c r="S65" s="133"/>
      <c r="T65" s="133"/>
    </row>
    <row r="66" spans="2:20" ht="15" hidden="1" customHeight="1">
      <c r="B66" s="667" t="s">
        <v>1075</v>
      </c>
      <c r="C66" s="668"/>
      <c r="D66" s="135">
        <f>D65-D63</f>
        <v>0</v>
      </c>
      <c r="E66" s="135">
        <f t="shared" ref="E66" si="23">E65-E63</f>
        <v>3016379.7718359968</v>
      </c>
      <c r="F66" s="135">
        <f t="shared" ref="F66" si="24">F65-F63</f>
        <v>0</v>
      </c>
      <c r="G66" s="135">
        <f t="shared" ref="G66" si="25">G65-G63</f>
        <v>4380660.54</v>
      </c>
      <c r="H66" s="135">
        <f t="shared" ref="H66" si="26">H65-H63</f>
        <v>1581943.8999999994</v>
      </c>
      <c r="I66" s="233">
        <v>0</v>
      </c>
      <c r="J66" s="233">
        <f>-SUM(D66:H66)</f>
        <v>-8978984.2118359953</v>
      </c>
      <c r="K66" s="233">
        <v>0</v>
      </c>
      <c r="L66" s="308"/>
      <c r="M66" s="133"/>
      <c r="N66" s="133"/>
      <c r="O66" s="133"/>
      <c r="P66" s="133"/>
      <c r="Q66" s="133"/>
      <c r="R66" s="133"/>
      <c r="S66" s="133"/>
      <c r="T66" s="133"/>
    </row>
    <row r="67" spans="2:20" ht="15" customHeight="1">
      <c r="B67" s="692" t="s">
        <v>1047</v>
      </c>
      <c r="C67" s="692"/>
      <c r="D67" s="590">
        <v>71706.89449999854</v>
      </c>
      <c r="E67" s="590">
        <v>3770422.3718360029</v>
      </c>
      <c r="F67" s="590">
        <v>2068772.0999999992</v>
      </c>
      <c r="G67" s="590">
        <v>-1354481.5443360014</v>
      </c>
      <c r="H67" s="590">
        <v>-4599810.5569999963</v>
      </c>
      <c r="I67" s="590">
        <v>0</v>
      </c>
      <c r="J67" s="590">
        <f t="shared" ref="J67:J74" si="27">-SUM(D67:H67)+K67</f>
        <v>388006.73499999661</v>
      </c>
      <c r="K67" s="590">
        <v>344616</v>
      </c>
      <c r="L67" s="308">
        <f>K67-RZiS!E21</f>
        <v>0</v>
      </c>
      <c r="M67" s="133"/>
      <c r="N67" s="133"/>
      <c r="O67" s="133"/>
      <c r="P67" s="133"/>
      <c r="Q67" s="133"/>
      <c r="R67" s="133"/>
      <c r="S67" s="133"/>
      <c r="T67" s="133"/>
    </row>
    <row r="68" spans="2:20" ht="15" customHeight="1">
      <c r="B68" s="692" t="s">
        <v>1048</v>
      </c>
      <c r="C68" s="692"/>
      <c r="D68" s="161">
        <v>420505.69449999853</v>
      </c>
      <c r="E68" s="74">
        <v>4910935.911836003</v>
      </c>
      <c r="F68" s="161">
        <v>2068772.0999999992</v>
      </c>
      <c r="G68" s="161">
        <v>-442312.90433600149</v>
      </c>
      <c r="H68" s="161">
        <v>-4450459.3469999963</v>
      </c>
      <c r="I68" s="161">
        <v>0</v>
      </c>
      <c r="J68" s="665">
        <f t="shared" si="27"/>
        <v>1311830.5449999971</v>
      </c>
      <c r="K68" s="161">
        <v>3819272</v>
      </c>
      <c r="L68" s="308">
        <f>K68-RZiS!E21-RZiS!E8</f>
        <v>0</v>
      </c>
      <c r="M68" s="133"/>
      <c r="N68" s="133"/>
      <c r="O68" s="133"/>
      <c r="P68" s="133"/>
      <c r="Q68" s="133"/>
      <c r="R68" s="133"/>
      <c r="S68" s="133"/>
      <c r="T68" s="133"/>
    </row>
    <row r="69" spans="2:20" ht="15" hidden="1" customHeight="1">
      <c r="B69" s="663" t="s">
        <v>293</v>
      </c>
      <c r="C69" s="664"/>
      <c r="D69" s="233">
        <v>0</v>
      </c>
      <c r="E69" s="135">
        <v>79276.509999999995</v>
      </c>
      <c r="F69" s="233">
        <v>0.38</v>
      </c>
      <c r="G69" s="233">
        <v>27530.25</v>
      </c>
      <c r="H69" s="233">
        <v>37130.589999999997</v>
      </c>
      <c r="I69" s="233">
        <v>0</v>
      </c>
      <c r="J69" s="233">
        <f t="shared" si="27"/>
        <v>-36755.440000000061</v>
      </c>
      <c r="K69" s="233">
        <v>107182.28999999992</v>
      </c>
      <c r="L69" s="308">
        <f>K69-RZiS!E22</f>
        <v>0.28999999992083758</v>
      </c>
      <c r="M69" s="133"/>
      <c r="N69" s="133"/>
      <c r="O69" s="133"/>
      <c r="P69" s="133"/>
      <c r="Q69" s="133"/>
      <c r="R69" s="133"/>
      <c r="S69" s="133"/>
      <c r="T69" s="133"/>
    </row>
    <row r="70" spans="2:20" ht="15" hidden="1" customHeight="1">
      <c r="B70" s="686" t="s">
        <v>492</v>
      </c>
      <c r="C70" s="686"/>
      <c r="D70" s="233">
        <v>0</v>
      </c>
      <c r="E70" s="135">
        <v>30128.45</v>
      </c>
      <c r="F70" s="233">
        <v>66859.86</v>
      </c>
      <c r="G70" s="233">
        <v>13537.3</v>
      </c>
      <c r="H70" s="233">
        <v>93685.4</v>
      </c>
      <c r="I70" s="233">
        <v>0</v>
      </c>
      <c r="J70" s="233">
        <f t="shared" si="27"/>
        <v>-36754.610000000015</v>
      </c>
      <c r="K70" s="233">
        <v>167456.4</v>
      </c>
      <c r="L70" s="308">
        <f>K70-RZiS!E23</f>
        <v>0.39999999999417923</v>
      </c>
      <c r="M70" s="133"/>
      <c r="N70" s="133"/>
      <c r="O70" s="133"/>
      <c r="P70" s="133"/>
      <c r="Q70" s="133"/>
      <c r="R70" s="133"/>
      <c r="S70" s="133"/>
      <c r="T70" s="133"/>
    </row>
    <row r="71" spans="2:20" ht="15" hidden="1" customHeight="1">
      <c r="B71" s="686" t="s">
        <v>381</v>
      </c>
      <c r="C71" s="686"/>
      <c r="D71" s="233">
        <v>0</v>
      </c>
      <c r="E71" s="233">
        <v>0</v>
      </c>
      <c r="F71" s="233">
        <v>0</v>
      </c>
      <c r="G71" s="233">
        <v>0</v>
      </c>
      <c r="H71" s="233">
        <v>0</v>
      </c>
      <c r="I71" s="233">
        <v>0</v>
      </c>
      <c r="J71" s="233">
        <f t="shared" si="27"/>
        <v>-24800</v>
      </c>
      <c r="K71" s="233">
        <v>-24800</v>
      </c>
      <c r="L71" s="308">
        <f>K71-RZiS!E24</f>
        <v>0</v>
      </c>
      <c r="M71" s="133"/>
      <c r="N71" s="133"/>
      <c r="O71" s="133"/>
      <c r="P71" s="133"/>
      <c r="Q71" s="133"/>
      <c r="R71" s="133"/>
      <c r="S71" s="133"/>
      <c r="T71" s="133"/>
    </row>
    <row r="72" spans="2:20" ht="15" hidden="1" customHeight="1">
      <c r="B72" s="692" t="s">
        <v>500</v>
      </c>
      <c r="C72" s="692"/>
      <c r="D72" s="161">
        <f>D67+D69-D70</f>
        <v>71706.89449999854</v>
      </c>
      <c r="E72" s="161">
        <f t="shared" ref="E72:H72" si="28">E67+E69-E70</f>
        <v>3819570.4318360025</v>
      </c>
      <c r="F72" s="161">
        <f t="shared" si="28"/>
        <v>2001912.6199999989</v>
      </c>
      <c r="G72" s="161">
        <f t="shared" si="28"/>
        <v>-1340488.5943360014</v>
      </c>
      <c r="H72" s="161">
        <f t="shared" si="28"/>
        <v>-4656365.3669999968</v>
      </c>
      <c r="I72" s="161">
        <v>0</v>
      </c>
      <c r="J72" s="665">
        <f t="shared" si="27"/>
        <v>363205.9049999977</v>
      </c>
      <c r="K72" s="161">
        <f>K67+K69-K70+K71</f>
        <v>259541.8899999999</v>
      </c>
      <c r="L72" s="308">
        <f>K72-RZiS!E26</f>
        <v>-0.11000000010244548</v>
      </c>
      <c r="M72" s="133"/>
      <c r="N72" s="133"/>
      <c r="O72" s="133"/>
      <c r="P72" s="133"/>
      <c r="Q72" s="133"/>
      <c r="R72" s="133"/>
      <c r="S72" s="133"/>
      <c r="T72" s="133"/>
    </row>
    <row r="73" spans="2:20" ht="15" hidden="1" customHeight="1">
      <c r="B73" s="686" t="s">
        <v>417</v>
      </c>
      <c r="C73" s="686"/>
      <c r="D73" s="233">
        <v>0</v>
      </c>
      <c r="E73" s="135">
        <v>87848.87</v>
      </c>
      <c r="F73" s="200">
        <v>-97654</v>
      </c>
      <c r="G73" s="200">
        <v>45718</v>
      </c>
      <c r="H73" s="233">
        <v>-25438</v>
      </c>
      <c r="I73" s="233">
        <v>0</v>
      </c>
      <c r="J73" s="233">
        <f t="shared" si="27"/>
        <v>-58523</v>
      </c>
      <c r="K73" s="233">
        <v>-48048.130000000005</v>
      </c>
      <c r="L73" s="308">
        <f>K73-RZiS!E27</f>
        <v>-0.13000000000465661</v>
      </c>
      <c r="M73" s="133"/>
      <c r="N73" s="133"/>
      <c r="O73" s="133"/>
      <c r="P73" s="133"/>
      <c r="Q73" s="133"/>
      <c r="R73" s="133"/>
      <c r="S73" s="133"/>
      <c r="T73" s="133"/>
    </row>
    <row r="74" spans="2:20" ht="15" hidden="1" customHeight="1">
      <c r="B74" s="687" t="s">
        <v>561</v>
      </c>
      <c r="C74" s="688"/>
      <c r="D74" s="233">
        <v>0</v>
      </c>
      <c r="E74" s="233">
        <v>0</v>
      </c>
      <c r="F74" s="233">
        <v>0</v>
      </c>
      <c r="G74" s="233">
        <v>0</v>
      </c>
      <c r="H74" s="233">
        <v>0</v>
      </c>
      <c r="I74" s="233">
        <v>0</v>
      </c>
      <c r="J74" s="233">
        <f t="shared" si="27"/>
        <v>30610</v>
      </c>
      <c r="K74" s="233">
        <v>30610</v>
      </c>
      <c r="L74" s="308">
        <f>K74-RZiS!E33</f>
        <v>0</v>
      </c>
      <c r="M74" s="133"/>
      <c r="N74" s="133"/>
      <c r="O74" s="133"/>
      <c r="P74" s="133"/>
      <c r="Q74" s="133"/>
      <c r="R74" s="133"/>
      <c r="S74" s="133"/>
      <c r="T74" s="133"/>
    </row>
    <row r="75" spans="2:20" ht="15" hidden="1" customHeight="1" thickBot="1">
      <c r="B75" s="689" t="s">
        <v>501</v>
      </c>
      <c r="C75" s="689"/>
      <c r="D75" s="591">
        <f t="shared" ref="D75:H75" si="29">D72-D73-D74</f>
        <v>71706.89449999854</v>
      </c>
      <c r="E75" s="591">
        <f t="shared" si="29"/>
        <v>3731721.5618360024</v>
      </c>
      <c r="F75" s="591">
        <f t="shared" si="29"/>
        <v>2099566.6199999992</v>
      </c>
      <c r="G75" s="591">
        <f t="shared" si="29"/>
        <v>-1386206.5943360014</v>
      </c>
      <c r="H75" s="591">
        <f t="shared" si="29"/>
        <v>-4630927.3669999968</v>
      </c>
      <c r="I75" s="591">
        <v>0</v>
      </c>
      <c r="J75" s="591">
        <f t="shared" ref="J75:K75" si="30">J72-J73-J74</f>
        <v>391118.9049999977</v>
      </c>
      <c r="K75" s="591">
        <f t="shared" si="30"/>
        <v>276980.0199999999</v>
      </c>
      <c r="L75" s="308">
        <f>K75-RZiS!E34</f>
        <v>1.999999990221113E-2</v>
      </c>
      <c r="M75" s="133"/>
      <c r="N75" s="133"/>
      <c r="O75" s="133"/>
      <c r="P75" s="133"/>
      <c r="Q75" s="133"/>
      <c r="R75" s="133"/>
      <c r="S75" s="133"/>
      <c r="T75" s="133"/>
    </row>
    <row r="76" spans="2:20" ht="15" customHeight="1">
      <c r="B76" s="5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</row>
    <row r="77" spans="2:20" ht="15" customHeight="1">
      <c r="B77" s="535" t="s">
        <v>1050</v>
      </c>
      <c r="C77" s="535"/>
      <c r="D77" s="535"/>
      <c r="E77" s="535"/>
      <c r="F77" s="535"/>
      <c r="G77" s="535"/>
      <c r="H77" s="535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</row>
    <row r="78" spans="2:20" ht="15" hidden="1" customHeight="1">
      <c r="B78" s="683" t="s">
        <v>502</v>
      </c>
      <c r="C78" s="683"/>
      <c r="D78" s="233">
        <v>0</v>
      </c>
      <c r="E78" s="135">
        <v>0</v>
      </c>
      <c r="F78" s="135">
        <v>0</v>
      </c>
      <c r="G78" s="233">
        <v>0</v>
      </c>
      <c r="H78" s="655">
        <v>0</v>
      </c>
      <c r="I78" s="655">
        <v>0</v>
      </c>
      <c r="J78" s="233">
        <v>0</v>
      </c>
      <c r="K78" s="133"/>
      <c r="L78" s="133"/>
      <c r="M78" s="133"/>
      <c r="N78" s="133"/>
      <c r="O78" s="133"/>
      <c r="P78" s="133"/>
      <c r="Q78" s="133"/>
      <c r="R78" s="133"/>
    </row>
    <row r="79" spans="2:20">
      <c r="B79" s="11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</row>
    <row r="80" spans="2:20" s="650" customFormat="1">
      <c r="B80" s="53" t="s">
        <v>1004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</row>
    <row r="81" spans="2:12" ht="25.35" customHeight="1">
      <c r="B81" s="99" t="s">
        <v>294</v>
      </c>
      <c r="C81" s="654" t="s">
        <v>191</v>
      </c>
      <c r="D81" s="70" t="s">
        <v>281</v>
      </c>
      <c r="E81" s="654" t="s">
        <v>557</v>
      </c>
      <c r="F81" s="654" t="s">
        <v>558</v>
      </c>
      <c r="G81" s="650"/>
      <c r="H81" s="650"/>
      <c r="I81" s="650"/>
      <c r="J81" s="650"/>
      <c r="K81" s="650"/>
      <c r="L81" s="650"/>
    </row>
    <row r="82" spans="2:12" ht="19.8" customHeight="1">
      <c r="B82" s="2" t="s">
        <v>277</v>
      </c>
      <c r="C82" s="657">
        <v>69841168</v>
      </c>
      <c r="D82" s="657">
        <f>E82+F82</f>
        <v>10031232</v>
      </c>
      <c r="E82" s="661">
        <v>4055225</v>
      </c>
      <c r="F82" s="661">
        <v>5976007</v>
      </c>
      <c r="G82" s="355"/>
    </row>
    <row r="83" spans="2:12" ht="25.35" hidden="1" customHeight="1">
      <c r="B83" s="2" t="s">
        <v>104</v>
      </c>
      <c r="C83" s="651">
        <v>0</v>
      </c>
      <c r="D83" s="651">
        <v>0</v>
      </c>
      <c r="E83" s="651">
        <v>0</v>
      </c>
      <c r="F83" s="651">
        <v>0</v>
      </c>
      <c r="G83" s="355"/>
    </row>
    <row r="84" spans="2:12" ht="25.35" hidden="1" customHeight="1">
      <c r="B84" s="2" t="s">
        <v>278</v>
      </c>
      <c r="C84" s="651">
        <v>0</v>
      </c>
      <c r="D84" s="651">
        <v>0</v>
      </c>
      <c r="E84" s="651">
        <v>0</v>
      </c>
      <c r="F84" s="651">
        <v>0</v>
      </c>
      <c r="G84" s="653"/>
    </row>
    <row r="85" spans="2:12" ht="25.35" hidden="1" customHeight="1">
      <c r="B85" s="2" t="s">
        <v>279</v>
      </c>
      <c r="C85" s="651">
        <v>0</v>
      </c>
      <c r="D85" s="651">
        <v>0</v>
      </c>
      <c r="E85" s="651">
        <v>0</v>
      </c>
      <c r="F85" s="651">
        <v>0</v>
      </c>
      <c r="G85" s="355"/>
    </row>
    <row r="86" spans="2:12" ht="25.35" hidden="1" customHeight="1">
      <c r="B86" s="2" t="s">
        <v>280</v>
      </c>
      <c r="C86" s="651">
        <v>0</v>
      </c>
      <c r="D86" s="651">
        <v>0</v>
      </c>
      <c r="E86" s="651">
        <v>0</v>
      </c>
      <c r="F86" s="651">
        <v>0</v>
      </c>
      <c r="G86" s="653"/>
    </row>
    <row r="88" spans="2:12" ht="13.2">
      <c r="B88" s="53" t="s">
        <v>850</v>
      </c>
      <c r="K88"/>
      <c r="L88"/>
    </row>
    <row r="89" spans="2:12" ht="13.2">
      <c r="B89" s="99" t="s">
        <v>294</v>
      </c>
      <c r="C89" s="654" t="s">
        <v>191</v>
      </c>
      <c r="D89" s="70" t="s">
        <v>281</v>
      </c>
      <c r="E89" s="654" t="s">
        <v>557</v>
      </c>
      <c r="F89" s="654" t="s">
        <v>558</v>
      </c>
      <c r="K89"/>
      <c r="L89"/>
    </row>
    <row r="90" spans="2:12" ht="20.399999999999999" customHeight="1">
      <c r="B90" s="2" t="s">
        <v>277</v>
      </c>
      <c r="C90" s="657">
        <v>59905414</v>
      </c>
      <c r="D90" s="657">
        <f>E90+F90</f>
        <v>7586802</v>
      </c>
      <c r="E90" s="661">
        <v>4832590</v>
      </c>
      <c r="F90" s="661">
        <v>2754212</v>
      </c>
      <c r="G90" s="650"/>
      <c r="H90"/>
      <c r="I90"/>
      <c r="J90"/>
      <c r="K90"/>
      <c r="L90"/>
    </row>
    <row r="91" spans="2:12" ht="36.75" hidden="1" customHeight="1">
      <c r="B91" s="2" t="s">
        <v>104</v>
      </c>
      <c r="C91" s="651">
        <v>0</v>
      </c>
      <c r="D91" s="651">
        <v>0</v>
      </c>
      <c r="E91" s="651">
        <v>0</v>
      </c>
      <c r="F91" s="651">
        <v>0</v>
      </c>
      <c r="G91" s="355"/>
      <c r="H91"/>
      <c r="I91"/>
      <c r="J91"/>
      <c r="K91"/>
      <c r="L91"/>
    </row>
    <row r="92" spans="2:12" ht="20.100000000000001" hidden="1" customHeight="1">
      <c r="B92" s="2" t="s">
        <v>278</v>
      </c>
      <c r="C92" s="651">
        <v>0</v>
      </c>
      <c r="D92" s="651">
        <v>0</v>
      </c>
      <c r="E92" s="651">
        <v>0</v>
      </c>
      <c r="F92" s="651">
        <v>0</v>
      </c>
      <c r="G92" s="355"/>
      <c r="H92"/>
      <c r="I92"/>
      <c r="J92"/>
      <c r="K92"/>
      <c r="L92"/>
    </row>
    <row r="93" spans="2:12" ht="28.5" hidden="1" customHeight="1">
      <c r="B93" s="2" t="s">
        <v>279</v>
      </c>
      <c r="C93" s="651">
        <v>0</v>
      </c>
      <c r="D93" s="651">
        <v>0</v>
      </c>
      <c r="E93" s="651">
        <v>0</v>
      </c>
      <c r="F93" s="651">
        <v>0</v>
      </c>
      <c r="G93" s="355"/>
      <c r="H93"/>
      <c r="I93"/>
      <c r="J93"/>
      <c r="K93"/>
      <c r="L93"/>
    </row>
    <row r="94" spans="2:12" ht="13.2" hidden="1">
      <c r="B94" s="2" t="s">
        <v>280</v>
      </c>
      <c r="C94" s="651">
        <v>0</v>
      </c>
      <c r="D94" s="651">
        <v>0</v>
      </c>
      <c r="E94" s="651">
        <v>0</v>
      </c>
      <c r="F94" s="651">
        <v>0</v>
      </c>
      <c r="G94" s="653"/>
      <c r="H94"/>
      <c r="I94"/>
      <c r="J94"/>
      <c r="K94"/>
      <c r="L94"/>
    </row>
    <row r="95" spans="2:12" ht="13.2" hidden="1">
      <c r="B95" s="2" t="s">
        <v>280</v>
      </c>
      <c r="C95" s="651">
        <v>0</v>
      </c>
      <c r="D95" s="651">
        <v>0</v>
      </c>
      <c r="E95" s="651">
        <v>0</v>
      </c>
      <c r="F95" s="651">
        <v>0</v>
      </c>
      <c r="G95" s="355"/>
      <c r="H95"/>
      <c r="I95"/>
      <c r="J95"/>
      <c r="K95"/>
      <c r="L95"/>
    </row>
    <row r="97" spans="2:12" ht="13.2">
      <c r="B97" s="53"/>
      <c r="K97"/>
      <c r="L97"/>
    </row>
    <row r="98" spans="2:12" ht="11.25" customHeight="1">
      <c r="B98"/>
      <c r="C98"/>
      <c r="D98"/>
      <c r="E98"/>
      <c r="F98"/>
      <c r="G98"/>
      <c r="H98"/>
      <c r="I98"/>
      <c r="J98"/>
      <c r="K98"/>
      <c r="L98"/>
    </row>
    <row r="99" spans="2:12" ht="13.2">
      <c r="B99" s="53" t="s">
        <v>192</v>
      </c>
      <c r="G99"/>
      <c r="H99"/>
      <c r="I99"/>
      <c r="J99"/>
      <c r="K99"/>
      <c r="L99"/>
    </row>
    <row r="100" spans="2:12">
      <c r="B100" s="53"/>
    </row>
    <row r="101" spans="2:12">
      <c r="B101" s="684"/>
      <c r="C101" s="681" t="s">
        <v>997</v>
      </c>
      <c r="D101" s="682"/>
      <c r="E101" s="681" t="s">
        <v>843</v>
      </c>
      <c r="F101" s="682"/>
    </row>
    <row r="102" spans="2:12">
      <c r="B102" s="685"/>
      <c r="C102" s="112" t="s">
        <v>197</v>
      </c>
      <c r="D102" s="112" t="s">
        <v>193</v>
      </c>
      <c r="E102" s="112" t="s">
        <v>197</v>
      </c>
      <c r="F102" s="112" t="s">
        <v>193</v>
      </c>
    </row>
    <row r="103" spans="2:12">
      <c r="B103" s="50" t="s">
        <v>194</v>
      </c>
      <c r="C103" s="147">
        <f>C82</f>
        <v>69841168</v>
      </c>
      <c r="D103" s="656">
        <f>C103/$C$107</f>
        <v>0.87440928280607566</v>
      </c>
      <c r="E103" s="147">
        <f>C90</f>
        <v>59905414</v>
      </c>
      <c r="F103" s="656">
        <v>0.91720727577130767</v>
      </c>
    </row>
    <row r="104" spans="2:12">
      <c r="B104" s="50" t="s">
        <v>195</v>
      </c>
      <c r="C104" s="147">
        <f>C105+C106</f>
        <v>10031232</v>
      </c>
      <c r="D104" s="656">
        <f t="shared" ref="D104:D106" si="31">C104/$C$107</f>
        <v>0.12559071719392431</v>
      </c>
      <c r="E104" s="147">
        <f>E105+E106</f>
        <v>7586802</v>
      </c>
      <c r="F104" s="656">
        <v>8.2792724228692313E-2</v>
      </c>
    </row>
    <row r="105" spans="2:12">
      <c r="B105" s="46" t="s">
        <v>196</v>
      </c>
      <c r="C105" s="163">
        <f>E82</f>
        <v>4055225</v>
      </c>
      <c r="D105" s="656">
        <f t="shared" si="31"/>
        <v>5.0771292711875443E-2</v>
      </c>
      <c r="E105" s="163">
        <f>E90</f>
        <v>4832590</v>
      </c>
      <c r="F105" s="656">
        <v>5.7920424081356371E-2</v>
      </c>
    </row>
    <row r="106" spans="2:12">
      <c r="B106" s="46" t="s">
        <v>558</v>
      </c>
      <c r="C106" s="163">
        <f>F82</f>
        <v>5976007</v>
      </c>
      <c r="D106" s="656">
        <f t="shared" si="31"/>
        <v>7.4819424482048869E-2</v>
      </c>
      <c r="E106" s="163">
        <f>F90</f>
        <v>2754212</v>
      </c>
      <c r="F106" s="656">
        <v>2.4872300147335935E-2</v>
      </c>
    </row>
    <row r="107" spans="2:12">
      <c r="B107" s="652" t="s">
        <v>25</v>
      </c>
      <c r="C107" s="147">
        <f>C103+C104</f>
        <v>79872400</v>
      </c>
      <c r="D107" s="656">
        <v>1</v>
      </c>
      <c r="E107" s="147">
        <f>E103+E104</f>
        <v>67492216</v>
      </c>
      <c r="F107" s="656">
        <v>1</v>
      </c>
    </row>
    <row r="108" spans="2:12" ht="13.2">
      <c r="B108"/>
      <c r="C108" s="301">
        <f>C107-[6]RZiS!D3</f>
        <v>0</v>
      </c>
      <c r="D108" s="355"/>
      <c r="E108" s="301">
        <f>E107-[6]RZiS!E3</f>
        <v>0</v>
      </c>
      <c r="F108" s="355"/>
    </row>
  </sheetData>
  <mergeCells count="32">
    <mergeCell ref="I60:I61"/>
    <mergeCell ref="J60:J61"/>
    <mergeCell ref="K60:K61"/>
    <mergeCell ref="B70:C70"/>
    <mergeCell ref="B72:C72"/>
    <mergeCell ref="B71:C71"/>
    <mergeCell ref="D60:H60"/>
    <mergeCell ref="B60:C61"/>
    <mergeCell ref="B62:C62"/>
    <mergeCell ref="B67:C67"/>
    <mergeCell ref="B68:C68"/>
    <mergeCell ref="B51:C51"/>
    <mergeCell ref="B53:C53"/>
    <mergeCell ref="B54:C54"/>
    <mergeCell ref="B52:C52"/>
    <mergeCell ref="B42:C42"/>
    <mergeCell ref="K40:K41"/>
    <mergeCell ref="B47:C47"/>
    <mergeCell ref="B48:C48"/>
    <mergeCell ref="J40:J41"/>
    <mergeCell ref="B50:C50"/>
    <mergeCell ref="B40:C41"/>
    <mergeCell ref="I40:I41"/>
    <mergeCell ref="D40:H40"/>
    <mergeCell ref="E101:F101"/>
    <mergeCell ref="B78:C78"/>
    <mergeCell ref="B101:B102"/>
    <mergeCell ref="C101:D101"/>
    <mergeCell ref="B56:C56"/>
    <mergeCell ref="B73:C73"/>
    <mergeCell ref="B74:C74"/>
    <mergeCell ref="B75:C75"/>
  </mergeCells>
  <phoneticPr fontId="37" type="noConversion"/>
  <pageMargins left="0.7" right="0.7" top="0.75" bottom="0.75" header="0.3" footer="0.3"/>
  <pageSetup paperSize="9" scale="3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A0742EB5AE84F8541A83538216CA2" ma:contentTypeVersion="7" ma:contentTypeDescription="Utwórz nowy dokument." ma:contentTypeScope="" ma:versionID="a3d7bdb68db8835c122a6c1fb605f5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4085628a59a80f6f21251454f0c02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33703A-D549-4781-8EEA-D6219AC17B5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AC376F-1668-4EF6-8AEA-3AA5FDCEF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629C00-9E27-4D81-A43F-E4058F52B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39</vt:i4>
      </vt:variant>
      <vt:variant>
        <vt:lpstr>Zakresy nazwane</vt:lpstr>
      </vt:variant>
      <vt:variant>
        <vt:i4>34</vt:i4>
      </vt:variant>
    </vt:vector>
  </HeadingPairs>
  <TitlesOfParts>
    <vt:vector size="73" baseType="lpstr">
      <vt:lpstr>Dane podstawowe</vt:lpstr>
      <vt:lpstr>wybrane dane finansowe</vt:lpstr>
      <vt:lpstr>RZiS</vt:lpstr>
      <vt:lpstr>Skr. spr. z cał. dochodów</vt:lpstr>
      <vt:lpstr>Aktywa</vt:lpstr>
      <vt:lpstr>Pasywa</vt:lpstr>
      <vt:lpstr>ZZwK</vt:lpstr>
      <vt:lpstr>RPP</vt:lpstr>
      <vt:lpstr>NOTA 1,2 - Przychody i segmenty</vt:lpstr>
      <vt:lpstr>NOTA 3 - Koszty rodzajowe</vt:lpstr>
      <vt:lpstr>NOTA 4 - PPO i PKO</vt:lpstr>
      <vt:lpstr>NOTA 5 - PF i KF</vt:lpstr>
      <vt:lpstr>NOTA 6 - Podatek </vt:lpstr>
      <vt:lpstr>NOTA 7 - Zysk na 1 akcję</vt:lpstr>
      <vt:lpstr>NOTA 9 -Rzeczowe aktywa trwałe</vt:lpstr>
      <vt:lpstr>NOTA 10 -Wartości niematerialne</vt:lpstr>
      <vt:lpstr>NOTA 11 - PRAWO DO UŻYTKOWANIA</vt:lpstr>
      <vt:lpstr>NOTA 12 - Wartość firmy</vt:lpstr>
      <vt:lpstr>NOTA 13,14 - Udziały,poz.akt</vt:lpstr>
      <vt:lpstr>NOTA 15 -Akt. fin.</vt:lpstr>
      <vt:lpstr>NOTA 16,17 - Należności</vt:lpstr>
      <vt:lpstr>NOTA 17a - RMK</vt:lpstr>
      <vt:lpstr>NOTA 18 - Środki pieniężne</vt:lpstr>
      <vt:lpstr>NOTA  19,20,21- Kapitały</vt:lpstr>
      <vt:lpstr>NOTA 22 Kredyty i pożyczki</vt:lpstr>
      <vt:lpstr>NOTA 23 Zobowiązania finansowe</vt:lpstr>
      <vt:lpstr>NOTA 24,25 - Zob. hand i pozost</vt:lpstr>
      <vt:lpstr>NOTA 26 - RMP</vt:lpstr>
      <vt:lpstr>NOTA 27,28 - Rezerwy</vt:lpstr>
      <vt:lpstr>NOTA 29 - Zarządzanie ryzykiem</vt:lpstr>
      <vt:lpstr>NOTA 30 - Wpływ COVID-19</vt:lpstr>
      <vt:lpstr>NOTA 32 - Zarządzanie kapitałem</vt:lpstr>
      <vt:lpstr>NOTA 33 - Podmioty powiązane</vt:lpstr>
      <vt:lpstr>NOTA 34- Wynagrodzenie kadry </vt:lpstr>
      <vt:lpstr>NOTA 35 - Sruktura zatrudnienia</vt:lpstr>
      <vt:lpstr>NOTA 39 - Program opcji</vt:lpstr>
      <vt:lpstr>NOTA 40 - Wynagrodzenie BR</vt:lpstr>
      <vt:lpstr>NOTA 41 - Objasnienia do RPP</vt:lpstr>
      <vt:lpstr>Arkusz1</vt:lpstr>
      <vt:lpstr>Aktywa!Obszar_wydruku</vt:lpstr>
      <vt:lpstr>'NOTA  19,20,21- Kapitały'!Obszar_wydruku</vt:lpstr>
      <vt:lpstr>'NOTA 10 -Wartości niematerialne'!Obszar_wydruku</vt:lpstr>
      <vt:lpstr>'NOTA 12 - Wartość firmy'!Obszar_wydruku</vt:lpstr>
      <vt:lpstr>'NOTA 13,14 - Udziały,poz.akt'!Obszar_wydruku</vt:lpstr>
      <vt:lpstr>'NOTA 15 -Akt. fin.'!Obszar_wydruku</vt:lpstr>
      <vt:lpstr>'NOTA 16,17 - Należności'!Obszar_wydruku</vt:lpstr>
      <vt:lpstr>'NOTA 17a - RMK'!Obszar_wydruku</vt:lpstr>
      <vt:lpstr>'NOTA 18 - Środki pieniężne'!Obszar_wydruku</vt:lpstr>
      <vt:lpstr>'NOTA 22 Kredyty i pożyczki'!Obszar_wydruku</vt:lpstr>
      <vt:lpstr>'NOTA 23 Zobowiązania finansowe'!Obszar_wydruku</vt:lpstr>
      <vt:lpstr>'NOTA 24,25 - Zob. hand i pozost'!Obszar_wydruku</vt:lpstr>
      <vt:lpstr>'NOTA 26 - RMP'!Obszar_wydruku</vt:lpstr>
      <vt:lpstr>'NOTA 27,28 - Rezerwy'!Obszar_wydruku</vt:lpstr>
      <vt:lpstr>'NOTA 29 - Zarządzanie ryzykiem'!Obszar_wydruku</vt:lpstr>
      <vt:lpstr>'NOTA 3 - Koszty rodzajowe'!Obszar_wydruku</vt:lpstr>
      <vt:lpstr>'NOTA 30 - Wpływ COVID-19'!Obszar_wydruku</vt:lpstr>
      <vt:lpstr>'NOTA 32 - Zarządzanie kapitałem'!Obszar_wydruku</vt:lpstr>
      <vt:lpstr>'NOTA 33 - Podmioty powiązane'!Obszar_wydruku</vt:lpstr>
      <vt:lpstr>'NOTA 34- Wynagrodzenie kadry '!Obszar_wydruku</vt:lpstr>
      <vt:lpstr>'NOTA 35 - Sruktura zatrudnienia'!Obszar_wydruku</vt:lpstr>
      <vt:lpstr>'NOTA 4 - PPO i PKO'!Obszar_wydruku</vt:lpstr>
      <vt:lpstr>'NOTA 40 - Wynagrodzenie BR'!Obszar_wydruku</vt:lpstr>
      <vt:lpstr>'NOTA 41 - Objasnienia do RPP'!Obszar_wydruku</vt:lpstr>
      <vt:lpstr>'NOTA 5 - PF i KF'!Obszar_wydruku</vt:lpstr>
      <vt:lpstr>'NOTA 6 - Podatek '!Obszar_wydruku</vt:lpstr>
      <vt:lpstr>'NOTA 7 - Zysk na 1 akcję'!Obszar_wydruku</vt:lpstr>
      <vt:lpstr>'NOTA 9 -Rzeczowe aktywa trwałe'!Obszar_wydruku</vt:lpstr>
      <vt:lpstr>Pasywa!Obszar_wydruku</vt:lpstr>
      <vt:lpstr>RPP!Obszar_wydruku</vt:lpstr>
      <vt:lpstr>RZiS!Obszar_wydruku</vt:lpstr>
      <vt:lpstr>'Skr. spr. z cał. dochodów'!Obszar_wydruku</vt:lpstr>
      <vt:lpstr>'wybrane dane finansowe'!Obszar_wydruku</vt:lpstr>
      <vt:lpstr>ZZwK!Obszar_wydruku</vt:lpstr>
    </vt:vector>
  </TitlesOfParts>
  <Company>CONSULT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Szymańska</dc:creator>
  <cp:lastModifiedBy>Tomasz Skupień</cp:lastModifiedBy>
  <cp:lastPrinted>2019-04-15T11:19:01Z</cp:lastPrinted>
  <dcterms:created xsi:type="dcterms:W3CDTF">2007-11-12T12:49:29Z</dcterms:created>
  <dcterms:modified xsi:type="dcterms:W3CDTF">2023-09-26T08:59:39Z</dcterms:modified>
</cp:coreProperties>
</file>